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132" yWindow="288" windowWidth="19668" windowHeight="13716" tabRatio="607" activeTab="1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Q27" i="4" l="1"/>
  <c r="R27" i="4"/>
  <c r="S27" i="4"/>
  <c r="T27" i="4"/>
  <c r="U27" i="4"/>
  <c r="V27" i="4"/>
  <c r="W27" i="4"/>
  <c r="AQ159" i="2"/>
  <c r="AR159" i="2"/>
  <c r="P27" i="4" s="1"/>
  <c r="O27" i="4"/>
  <c r="Q5" i="4"/>
  <c r="R5" i="4"/>
  <c r="S5" i="4"/>
  <c r="T5" i="4"/>
  <c r="U5" i="4"/>
  <c r="V5" i="4"/>
  <c r="W5" i="4"/>
  <c r="P6" i="4"/>
  <c r="Q6" i="4"/>
  <c r="R6" i="4"/>
  <c r="S6" i="4"/>
  <c r="T6" i="4"/>
  <c r="U6" i="4"/>
  <c r="V6" i="4"/>
  <c r="W6" i="4"/>
  <c r="Q7" i="4"/>
  <c r="R7" i="4"/>
  <c r="S7" i="4"/>
  <c r="T7" i="4"/>
  <c r="U7" i="4"/>
  <c r="V7" i="4"/>
  <c r="W7" i="4"/>
  <c r="Q8" i="4"/>
  <c r="R8" i="4"/>
  <c r="S8" i="4"/>
  <c r="T8" i="4"/>
  <c r="U8" i="4"/>
  <c r="V8" i="4"/>
  <c r="W8" i="4"/>
  <c r="P9" i="4"/>
  <c r="Q9" i="4"/>
  <c r="R9" i="4"/>
  <c r="S9" i="4"/>
  <c r="T9" i="4"/>
  <c r="U9" i="4"/>
  <c r="V9" i="4"/>
  <c r="W9" i="4"/>
  <c r="P10" i="4"/>
  <c r="Q10" i="4"/>
  <c r="R10" i="4"/>
  <c r="S10" i="4"/>
  <c r="T10" i="4"/>
  <c r="U10" i="4"/>
  <c r="V10" i="4"/>
  <c r="W10" i="4"/>
  <c r="P11" i="4"/>
  <c r="Q11" i="4"/>
  <c r="R11" i="4"/>
  <c r="S11" i="4"/>
  <c r="T11" i="4"/>
  <c r="U11" i="4"/>
  <c r="V11" i="4"/>
  <c r="W11" i="4"/>
  <c r="Q12" i="4"/>
  <c r="R12" i="4"/>
  <c r="S12" i="4"/>
  <c r="T12" i="4"/>
  <c r="U12" i="4"/>
  <c r="V12" i="4"/>
  <c r="W12" i="4"/>
  <c r="Q13" i="4"/>
  <c r="R13" i="4"/>
  <c r="S13" i="4"/>
  <c r="T13" i="4"/>
  <c r="U13" i="4"/>
  <c r="V13" i="4"/>
  <c r="W13" i="4"/>
  <c r="Q14" i="4"/>
  <c r="R14" i="4"/>
  <c r="S14" i="4"/>
  <c r="T14" i="4"/>
  <c r="U14" i="4"/>
  <c r="V14" i="4"/>
  <c r="W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AS159" i="2"/>
  <c r="AT159" i="2"/>
  <c r="AU159" i="2"/>
  <c r="AV159" i="2"/>
  <c r="AW159" i="2"/>
  <c r="AX159" i="2"/>
  <c r="AY159" i="2"/>
  <c r="AT12" i="2"/>
  <c r="AW12" i="2"/>
  <c r="AX12" i="2"/>
  <c r="AW19" i="2"/>
  <c r="AX19" i="2"/>
  <c r="AW26" i="2"/>
  <c r="AX26" i="2"/>
  <c r="AW33" i="2"/>
  <c r="AX33" i="2"/>
  <c r="AW40" i="2"/>
  <c r="AX40" i="2"/>
  <c r="AW47" i="2"/>
  <c r="AX47" i="2"/>
  <c r="AW54" i="2"/>
  <c r="AX54" i="2"/>
  <c r="AW61" i="2"/>
  <c r="AX61" i="2"/>
  <c r="AW68" i="2"/>
  <c r="AX68" i="2"/>
  <c r="AW75" i="2"/>
  <c r="AX75" i="2"/>
  <c r="AW82" i="2"/>
  <c r="AX82" i="2"/>
  <c r="AW89" i="2"/>
  <c r="AX89" i="2"/>
  <c r="AW96" i="2"/>
  <c r="AX96" i="2"/>
  <c r="AW103" i="2"/>
  <c r="AX103" i="2"/>
  <c r="AW110" i="2"/>
  <c r="AX110" i="2"/>
  <c r="AW117" i="2"/>
  <c r="AX117" i="2"/>
  <c r="AW124" i="2"/>
  <c r="AX124" i="2"/>
  <c r="AW131" i="2"/>
  <c r="AX131" i="2"/>
  <c r="AW138" i="2"/>
  <c r="AX138" i="2"/>
  <c r="AW145" i="2"/>
  <c r="AX145" i="2"/>
  <c r="AW152" i="2"/>
  <c r="AX152" i="2"/>
  <c r="AX5" i="2"/>
  <c r="AW5" i="2"/>
  <c r="AU5" i="2"/>
  <c r="AS5" i="2"/>
  <c r="Q27" i="3"/>
  <c r="R27" i="3"/>
  <c r="S27" i="3"/>
  <c r="T27" i="3"/>
  <c r="U27" i="3"/>
  <c r="V27" i="3"/>
  <c r="W27" i="3"/>
  <c r="P27" i="3"/>
  <c r="O27" i="3"/>
  <c r="AS159" i="1"/>
  <c r="AT159" i="1"/>
  <c r="AU159" i="1"/>
  <c r="AV159" i="1"/>
  <c r="AW159" i="1"/>
  <c r="AX159" i="1"/>
  <c r="AY159" i="1"/>
  <c r="AR159" i="1"/>
  <c r="P5" i="3"/>
  <c r="Q5" i="3"/>
  <c r="R5" i="3"/>
  <c r="S5" i="3"/>
  <c r="T5" i="3"/>
  <c r="U5" i="3"/>
  <c r="V5" i="3"/>
  <c r="W5" i="3"/>
  <c r="P6" i="3"/>
  <c r="Q6" i="3"/>
  <c r="R6" i="3"/>
  <c r="S6" i="3"/>
  <c r="T6" i="3"/>
  <c r="U6" i="3"/>
  <c r="V6" i="3"/>
  <c r="W6" i="3"/>
  <c r="P7" i="3"/>
  <c r="Q7" i="3"/>
  <c r="R7" i="3"/>
  <c r="S7" i="3"/>
  <c r="T7" i="3"/>
  <c r="U7" i="3"/>
  <c r="V7" i="3"/>
  <c r="W7" i="3"/>
  <c r="P8" i="3"/>
  <c r="Q8" i="3"/>
  <c r="R8" i="3"/>
  <c r="S8" i="3"/>
  <c r="T8" i="3"/>
  <c r="U8" i="3"/>
  <c r="V8" i="3"/>
  <c r="W8" i="3"/>
  <c r="P9" i="3"/>
  <c r="Q9" i="3"/>
  <c r="R9" i="3"/>
  <c r="S9" i="3"/>
  <c r="T9" i="3"/>
  <c r="U9" i="3"/>
  <c r="V9" i="3"/>
  <c r="W9" i="3"/>
  <c r="P10" i="3"/>
  <c r="Q10" i="3"/>
  <c r="R10" i="3"/>
  <c r="S10" i="3"/>
  <c r="T10" i="3"/>
  <c r="U10" i="3"/>
  <c r="V10" i="3"/>
  <c r="W10" i="3"/>
  <c r="P11" i="3"/>
  <c r="Q11" i="3"/>
  <c r="R11" i="3"/>
  <c r="S11" i="3"/>
  <c r="T11" i="3"/>
  <c r="U11" i="3"/>
  <c r="V11" i="3"/>
  <c r="W11" i="3"/>
  <c r="P12" i="3"/>
  <c r="Q12" i="3"/>
  <c r="R12" i="3"/>
  <c r="S12" i="3"/>
  <c r="T12" i="3"/>
  <c r="U12" i="3"/>
  <c r="V12" i="3"/>
  <c r="W12" i="3"/>
  <c r="P13" i="3"/>
  <c r="Q13" i="3"/>
  <c r="R13" i="3"/>
  <c r="S13" i="3"/>
  <c r="T13" i="3"/>
  <c r="U13" i="3"/>
  <c r="V13" i="3"/>
  <c r="W13" i="3"/>
  <c r="P14" i="3"/>
  <c r="Q14" i="3"/>
  <c r="R14" i="3"/>
  <c r="S14" i="3"/>
  <c r="T14" i="3"/>
  <c r="U14" i="3"/>
  <c r="V14" i="3"/>
  <c r="W14" i="3"/>
  <c r="P15" i="3"/>
  <c r="Q15" i="3"/>
  <c r="R15" i="3"/>
  <c r="S15" i="3"/>
  <c r="T15" i="3"/>
  <c r="U15" i="3"/>
  <c r="V15" i="3"/>
  <c r="W15" i="3"/>
  <c r="P16" i="3"/>
  <c r="Q16" i="3"/>
  <c r="R16" i="3"/>
  <c r="S16" i="3"/>
  <c r="T16" i="3"/>
  <c r="U16" i="3"/>
  <c r="V16" i="3"/>
  <c r="W16" i="3"/>
  <c r="P17" i="3"/>
  <c r="Q17" i="3"/>
  <c r="R17" i="3"/>
  <c r="S17" i="3"/>
  <c r="T17" i="3"/>
  <c r="U17" i="3"/>
  <c r="V17" i="3"/>
  <c r="W17" i="3"/>
  <c r="P18" i="3"/>
  <c r="Q18" i="3"/>
  <c r="R18" i="3"/>
  <c r="S18" i="3"/>
  <c r="T18" i="3"/>
  <c r="U18" i="3"/>
  <c r="V18" i="3"/>
  <c r="W18" i="3"/>
  <c r="P19" i="3"/>
  <c r="Q19" i="3"/>
  <c r="R19" i="3"/>
  <c r="S19" i="3"/>
  <c r="T19" i="3"/>
  <c r="U19" i="3"/>
  <c r="V19" i="3"/>
  <c r="W19" i="3"/>
  <c r="P20" i="3"/>
  <c r="Q20" i="3"/>
  <c r="R20" i="3"/>
  <c r="S20" i="3"/>
  <c r="T20" i="3"/>
  <c r="U20" i="3"/>
  <c r="V20" i="3"/>
  <c r="W20" i="3"/>
  <c r="P21" i="3"/>
  <c r="Q21" i="3"/>
  <c r="R21" i="3"/>
  <c r="S21" i="3"/>
  <c r="T21" i="3"/>
  <c r="U21" i="3"/>
  <c r="V21" i="3"/>
  <c r="W21" i="3"/>
  <c r="P22" i="3"/>
  <c r="Q22" i="3"/>
  <c r="R22" i="3"/>
  <c r="S22" i="3"/>
  <c r="T22" i="3"/>
  <c r="U22" i="3"/>
  <c r="V22" i="3"/>
  <c r="W22" i="3"/>
  <c r="P23" i="3"/>
  <c r="Q23" i="3"/>
  <c r="R23" i="3"/>
  <c r="S23" i="3"/>
  <c r="T23" i="3"/>
  <c r="U23" i="3"/>
  <c r="V23" i="3"/>
  <c r="W23" i="3"/>
  <c r="P24" i="3"/>
  <c r="Q24" i="3"/>
  <c r="R24" i="3"/>
  <c r="S24" i="3"/>
  <c r="T24" i="3"/>
  <c r="U24" i="3"/>
  <c r="V24" i="3"/>
  <c r="W24" i="3"/>
  <c r="P25" i="3"/>
  <c r="Q25" i="3"/>
  <c r="R25" i="3"/>
  <c r="S25" i="3"/>
  <c r="T25" i="3"/>
  <c r="U25" i="3"/>
  <c r="V25" i="3"/>
  <c r="W25" i="3"/>
  <c r="P26" i="3"/>
  <c r="Q26" i="3"/>
  <c r="R26" i="3"/>
  <c r="S26" i="3"/>
  <c r="T26" i="3"/>
  <c r="U26" i="3"/>
  <c r="V26" i="3"/>
  <c r="W26" i="3"/>
  <c r="AR5" i="1"/>
  <c r="AR12" i="1"/>
  <c r="AR19" i="1"/>
  <c r="AR26" i="1"/>
  <c r="AR33" i="1"/>
  <c r="AR40" i="1"/>
  <c r="AR47" i="1"/>
  <c r="AR54" i="1"/>
  <c r="AR61" i="1"/>
  <c r="AR68" i="1"/>
  <c r="AR75" i="1"/>
  <c r="AR82" i="1"/>
  <c r="AR89" i="1"/>
  <c r="AR96" i="1"/>
  <c r="AR103" i="1"/>
  <c r="AR110" i="1"/>
  <c r="AR117" i="1"/>
  <c r="AR124" i="1"/>
  <c r="AR131" i="1"/>
  <c r="AR138" i="1"/>
  <c r="AR145" i="1"/>
  <c r="AR152" i="1"/>
  <c r="AW12" i="1"/>
  <c r="AX12" i="1"/>
  <c r="AW19" i="1"/>
  <c r="AX19" i="1"/>
  <c r="AW26" i="1"/>
  <c r="AX26" i="1"/>
  <c r="AW33" i="1"/>
  <c r="AX33" i="1"/>
  <c r="AW40" i="1"/>
  <c r="AX40" i="1"/>
  <c r="AW47" i="1"/>
  <c r="AX47" i="1"/>
  <c r="AW54" i="1"/>
  <c r="AX54" i="1"/>
  <c r="AW61" i="1"/>
  <c r="AX61" i="1"/>
  <c r="AW68" i="1"/>
  <c r="AX68" i="1"/>
  <c r="AW75" i="1"/>
  <c r="AX75" i="1"/>
  <c r="AW82" i="1"/>
  <c r="AX82" i="1"/>
  <c r="AW89" i="1"/>
  <c r="AX89" i="1"/>
  <c r="AW96" i="1"/>
  <c r="AX96" i="1"/>
  <c r="AW103" i="1"/>
  <c r="AX103" i="1"/>
  <c r="AW110" i="1"/>
  <c r="AX110" i="1"/>
  <c r="AW117" i="1"/>
  <c r="AX117" i="1"/>
  <c r="AW124" i="1"/>
  <c r="AX124" i="1"/>
  <c r="AW131" i="1"/>
  <c r="AX131" i="1"/>
  <c r="AW138" i="1"/>
  <c r="AX138" i="1"/>
  <c r="AW145" i="1"/>
  <c r="AX145" i="1"/>
  <c r="AW152" i="1"/>
  <c r="AX152" i="1"/>
  <c r="AW5" i="1"/>
  <c r="G5" i="1"/>
  <c r="G7" i="1" s="1"/>
  <c r="N7" i="4"/>
  <c r="K9" i="4"/>
  <c r="J11" i="4"/>
  <c r="L11" i="4"/>
  <c r="D17" i="4"/>
  <c r="E18" i="4"/>
  <c r="N24" i="4"/>
  <c r="D5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I6" i="4" s="1"/>
  <c r="AL12" i="2"/>
  <c r="J6" i="4" s="1"/>
  <c r="AM12" i="2"/>
  <c r="K6" i="4" s="1"/>
  <c r="AN12" i="2"/>
  <c r="L6" i="4" s="1"/>
  <c r="AO12" i="2"/>
  <c r="M6" i="4" s="1"/>
  <c r="AP12" i="2"/>
  <c r="N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I7" i="4" s="1"/>
  <c r="AL19" i="2"/>
  <c r="J7" i="4" s="1"/>
  <c r="AM19" i="2"/>
  <c r="K7" i="4" s="1"/>
  <c r="AN19" i="2"/>
  <c r="L7" i="4" s="1"/>
  <c r="AO19" i="2"/>
  <c r="M7" i="4" s="1"/>
  <c r="AP19" i="2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I8" i="4" s="1"/>
  <c r="AL26" i="2"/>
  <c r="J8" i="4" s="1"/>
  <c r="AM26" i="2"/>
  <c r="K8" i="4" s="1"/>
  <c r="AN26" i="2"/>
  <c r="L8" i="4" s="1"/>
  <c r="AO26" i="2"/>
  <c r="M8" i="4" s="1"/>
  <c r="AP26" i="2"/>
  <c r="N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I9" i="4" s="1"/>
  <c r="AL33" i="2"/>
  <c r="J9" i="4" s="1"/>
  <c r="AM33" i="2"/>
  <c r="AN33" i="2"/>
  <c r="L9" i="4" s="1"/>
  <c r="AO33" i="2"/>
  <c r="M9" i="4" s="1"/>
  <c r="AP33" i="2"/>
  <c r="N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I10" i="4" s="1"/>
  <c r="AL40" i="2"/>
  <c r="J10" i="4" s="1"/>
  <c r="AM40" i="2"/>
  <c r="K10" i="4" s="1"/>
  <c r="AN40" i="2"/>
  <c r="L10" i="4" s="1"/>
  <c r="AO40" i="2"/>
  <c r="M10" i="4" s="1"/>
  <c r="AP40" i="2"/>
  <c r="N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I11" i="4" s="1"/>
  <c r="AL47" i="2"/>
  <c r="AM47" i="2"/>
  <c r="K11" i="4" s="1"/>
  <c r="AN47" i="2"/>
  <c r="AO47" i="2"/>
  <c r="M11" i="4" s="1"/>
  <c r="AP47" i="2"/>
  <c r="N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I12" i="4" s="1"/>
  <c r="AL54" i="2"/>
  <c r="J12" i="4" s="1"/>
  <c r="AM54" i="2"/>
  <c r="K12" i="4" s="1"/>
  <c r="AN54" i="2"/>
  <c r="L12" i="4" s="1"/>
  <c r="AO54" i="2"/>
  <c r="M12" i="4" s="1"/>
  <c r="AP54" i="2"/>
  <c r="N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I13" i="4" s="1"/>
  <c r="AL61" i="2"/>
  <c r="J13" i="4" s="1"/>
  <c r="AM61" i="2"/>
  <c r="K13" i="4" s="1"/>
  <c r="AN61" i="2"/>
  <c r="L13" i="4" s="1"/>
  <c r="AO61" i="2"/>
  <c r="M13" i="4" s="1"/>
  <c r="AP61" i="2"/>
  <c r="N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I14" i="4" s="1"/>
  <c r="AL68" i="2"/>
  <c r="J14" i="4" s="1"/>
  <c r="AM68" i="2"/>
  <c r="K14" i="4" s="1"/>
  <c r="AN68" i="2"/>
  <c r="L14" i="4" s="1"/>
  <c r="AO68" i="2"/>
  <c r="M14" i="4" s="1"/>
  <c r="AP68" i="2"/>
  <c r="N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I15" i="4" s="1"/>
  <c r="AL75" i="2"/>
  <c r="J15" i="4" s="1"/>
  <c r="AM75" i="2"/>
  <c r="K15" i="4" s="1"/>
  <c r="AN75" i="2"/>
  <c r="L15" i="4" s="1"/>
  <c r="AO75" i="2"/>
  <c r="M15" i="4" s="1"/>
  <c r="AP75" i="2"/>
  <c r="N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I16" i="4" s="1"/>
  <c r="AL82" i="2"/>
  <c r="J16" i="4" s="1"/>
  <c r="AM82" i="2"/>
  <c r="K16" i="4" s="1"/>
  <c r="AN82" i="2"/>
  <c r="L16" i="4" s="1"/>
  <c r="AO82" i="2"/>
  <c r="M16" i="4" s="1"/>
  <c r="AP82" i="2"/>
  <c r="N16" i="4" s="1"/>
  <c r="AD89" i="2"/>
  <c r="AE89" i="2"/>
  <c r="AF89" i="2"/>
  <c r="AG89" i="2"/>
  <c r="E17" i="4" s="1"/>
  <c r="AH89" i="2"/>
  <c r="F17" i="4" s="1"/>
  <c r="AI89" i="2"/>
  <c r="G17" i="4" s="1"/>
  <c r="AJ89" i="2"/>
  <c r="H17" i="4" s="1"/>
  <c r="AK89" i="2"/>
  <c r="I17" i="4" s="1"/>
  <c r="AL89" i="2"/>
  <c r="J17" i="4" s="1"/>
  <c r="AM89" i="2"/>
  <c r="K17" i="4" s="1"/>
  <c r="AN89" i="2"/>
  <c r="L17" i="4" s="1"/>
  <c r="AO89" i="2"/>
  <c r="M17" i="4" s="1"/>
  <c r="AP89" i="2"/>
  <c r="N17" i="4" s="1"/>
  <c r="AD96" i="2"/>
  <c r="AE96" i="2"/>
  <c r="AF96" i="2"/>
  <c r="D18" i="4" s="1"/>
  <c r="AG96" i="2"/>
  <c r="AH96" i="2"/>
  <c r="F18" i="4" s="1"/>
  <c r="AI96" i="2"/>
  <c r="G18" i="4" s="1"/>
  <c r="AJ96" i="2"/>
  <c r="H18" i="4" s="1"/>
  <c r="AK96" i="2"/>
  <c r="I18" i="4" s="1"/>
  <c r="AL96" i="2"/>
  <c r="J18" i="4" s="1"/>
  <c r="AM96" i="2"/>
  <c r="K18" i="4" s="1"/>
  <c r="AN96" i="2"/>
  <c r="L18" i="4" s="1"/>
  <c r="AO96" i="2"/>
  <c r="M18" i="4" s="1"/>
  <c r="AP96" i="2"/>
  <c r="N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I19" i="4" s="1"/>
  <c r="AL103" i="2"/>
  <c r="J19" i="4" s="1"/>
  <c r="AM103" i="2"/>
  <c r="K19" i="4" s="1"/>
  <c r="AN103" i="2"/>
  <c r="L19" i="4" s="1"/>
  <c r="AO103" i="2"/>
  <c r="M19" i="4" s="1"/>
  <c r="AP103" i="2"/>
  <c r="N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I20" i="4" s="1"/>
  <c r="AL110" i="2"/>
  <c r="J20" i="4" s="1"/>
  <c r="AM110" i="2"/>
  <c r="K20" i="4" s="1"/>
  <c r="AN110" i="2"/>
  <c r="L20" i="4" s="1"/>
  <c r="AO110" i="2"/>
  <c r="M20" i="4" s="1"/>
  <c r="AP110" i="2"/>
  <c r="N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I21" i="4" s="1"/>
  <c r="AL117" i="2"/>
  <c r="J21" i="4" s="1"/>
  <c r="AM117" i="2"/>
  <c r="K21" i="4" s="1"/>
  <c r="AN117" i="2"/>
  <c r="L21" i="4" s="1"/>
  <c r="AO117" i="2"/>
  <c r="M21" i="4" s="1"/>
  <c r="AP117" i="2"/>
  <c r="N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I22" i="4" s="1"/>
  <c r="AL124" i="2"/>
  <c r="J22" i="4" s="1"/>
  <c r="AM124" i="2"/>
  <c r="K22" i="4" s="1"/>
  <c r="AN124" i="2"/>
  <c r="L22" i="4" s="1"/>
  <c r="AO124" i="2"/>
  <c r="M22" i="4" s="1"/>
  <c r="AP124" i="2"/>
  <c r="N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I23" i="4" s="1"/>
  <c r="AL131" i="2"/>
  <c r="J23" i="4" s="1"/>
  <c r="AM131" i="2"/>
  <c r="K23" i="4" s="1"/>
  <c r="AN131" i="2"/>
  <c r="L23" i="4" s="1"/>
  <c r="AO131" i="2"/>
  <c r="M23" i="4" s="1"/>
  <c r="AP131" i="2"/>
  <c r="N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I24" i="4" s="1"/>
  <c r="AL138" i="2"/>
  <c r="J24" i="4" s="1"/>
  <c r="AM138" i="2"/>
  <c r="K24" i="4" s="1"/>
  <c r="AN138" i="2"/>
  <c r="L24" i="4" s="1"/>
  <c r="AO138" i="2"/>
  <c r="M24" i="4" s="1"/>
  <c r="AP138" i="2"/>
  <c r="AD145" i="2"/>
  <c r="AE145" i="2"/>
  <c r="AF145" i="2"/>
  <c r="D25" i="4" s="1"/>
  <c r="AG145" i="2"/>
  <c r="E25" i="4" s="1"/>
  <c r="AH145" i="2"/>
  <c r="F25" i="4" s="1"/>
  <c r="AI145" i="2"/>
  <c r="G25" i="4" s="1"/>
  <c r="AJ145" i="2"/>
  <c r="H25" i="4" s="1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D152" i="2"/>
  <c r="AE152" i="2"/>
  <c r="AF152" i="2"/>
  <c r="D26" i="4" s="1"/>
  <c r="AG152" i="2"/>
  <c r="E26" i="4" s="1"/>
  <c r="AH152" i="2"/>
  <c r="F26" i="4" s="1"/>
  <c r="AI152" i="2"/>
  <c r="G26" i="4" s="1"/>
  <c r="AJ152" i="2"/>
  <c r="H26" i="4" s="1"/>
  <c r="AK152" i="2"/>
  <c r="I26" i="4" s="1"/>
  <c r="AL152" i="2"/>
  <c r="J26" i="4" s="1"/>
  <c r="AM152" i="2"/>
  <c r="K26" i="4" s="1"/>
  <c r="AN152" i="2"/>
  <c r="L26" i="4" s="1"/>
  <c r="AO152" i="2"/>
  <c r="M26" i="4" s="1"/>
  <c r="AP152" i="2"/>
  <c r="N26" i="4" s="1"/>
  <c r="AD159" i="2"/>
  <c r="B27" i="4" s="1"/>
  <c r="AE159" i="2"/>
  <c r="C27" i="4" s="1"/>
  <c r="AF159" i="2"/>
  <c r="D27" i="4" s="1"/>
  <c r="AG159" i="2"/>
  <c r="E27" i="4" s="1"/>
  <c r="AH159" i="2"/>
  <c r="F27" i="4" s="1"/>
  <c r="AI159" i="2"/>
  <c r="G27" i="4" s="1"/>
  <c r="AJ159" i="2"/>
  <c r="H27" i="4" s="1"/>
  <c r="AK159" i="2"/>
  <c r="I27" i="4" s="1"/>
  <c r="AL159" i="2"/>
  <c r="J27" i="4" s="1"/>
  <c r="AM159" i="2"/>
  <c r="K27" i="4" s="1"/>
  <c r="AN159" i="2"/>
  <c r="L27" i="4" s="1"/>
  <c r="AO159" i="2"/>
  <c r="M27" i="4" s="1"/>
  <c r="AP159" i="2"/>
  <c r="N27" i="4" s="1"/>
  <c r="AN5" i="2"/>
  <c r="L5" i="4" s="1"/>
  <c r="AP5" i="2"/>
  <c r="N5" i="4" s="1"/>
  <c r="AL5" i="2"/>
  <c r="J5" i="4" s="1"/>
  <c r="AJ5" i="2"/>
  <c r="H5" i="4" s="1"/>
  <c r="AH5" i="2"/>
  <c r="F5" i="4" s="1"/>
  <c r="AF5" i="2"/>
  <c r="AA165" i="2"/>
  <c r="AA164" i="2"/>
  <c r="AA163" i="2"/>
  <c r="AA162" i="2"/>
  <c r="AA161" i="2"/>
  <c r="AA160" i="2"/>
  <c r="AA158" i="2"/>
  <c r="AA157" i="2"/>
  <c r="AA156" i="2"/>
  <c r="AA155" i="2"/>
  <c r="AA154" i="2"/>
  <c r="AA153" i="2"/>
  <c r="AA151" i="2"/>
  <c r="AA150" i="2"/>
  <c r="AA149" i="2"/>
  <c r="AA148" i="2"/>
  <c r="AA147" i="2"/>
  <c r="AA146" i="2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65" i="2"/>
  <c r="X164" i="2"/>
  <c r="X163" i="2"/>
  <c r="X162" i="2"/>
  <c r="X161" i="2"/>
  <c r="X160" i="2"/>
  <c r="X158" i="2"/>
  <c r="X157" i="2"/>
  <c r="X156" i="2"/>
  <c r="X155" i="2"/>
  <c r="X154" i="2"/>
  <c r="X153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65" i="2"/>
  <c r="U164" i="2"/>
  <c r="U163" i="2"/>
  <c r="U162" i="2"/>
  <c r="U161" i="2"/>
  <c r="U160" i="2"/>
  <c r="U158" i="2"/>
  <c r="U157" i="2"/>
  <c r="U156" i="2"/>
  <c r="U155" i="2"/>
  <c r="U154" i="2"/>
  <c r="U153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65" i="2"/>
  <c r="R164" i="2"/>
  <c r="R163" i="2"/>
  <c r="R162" i="2"/>
  <c r="R161" i="2"/>
  <c r="R160" i="2"/>
  <c r="R158" i="2"/>
  <c r="R157" i="2"/>
  <c r="R156" i="2"/>
  <c r="R155" i="2"/>
  <c r="R154" i="2"/>
  <c r="R153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Q159" i="1"/>
  <c r="AD159" i="1"/>
  <c r="AE19" i="1"/>
  <c r="AF19" i="1"/>
  <c r="D7" i="3" s="1"/>
  <c r="AG19" i="1"/>
  <c r="E7" i="3" s="1"/>
  <c r="AH19" i="1"/>
  <c r="F7" i="3" s="1"/>
  <c r="AI19" i="1"/>
  <c r="G7" i="3" s="1"/>
  <c r="AJ19" i="1"/>
  <c r="H7" i="3" s="1"/>
  <c r="AK19" i="1"/>
  <c r="I7" i="3" s="1"/>
  <c r="AL19" i="1"/>
  <c r="J7" i="3" s="1"/>
  <c r="AM19" i="1"/>
  <c r="K7" i="3" s="1"/>
  <c r="AN19" i="1"/>
  <c r="L7" i="3" s="1"/>
  <c r="AO19" i="1"/>
  <c r="M7" i="3" s="1"/>
  <c r="AP19" i="1"/>
  <c r="N7" i="3" s="1"/>
  <c r="AE26" i="1"/>
  <c r="AF26" i="1"/>
  <c r="D8" i="3" s="1"/>
  <c r="AG26" i="1"/>
  <c r="E8" i="3" s="1"/>
  <c r="AH26" i="1"/>
  <c r="F8" i="3" s="1"/>
  <c r="AI26" i="1"/>
  <c r="G8" i="3" s="1"/>
  <c r="AJ26" i="1"/>
  <c r="H8" i="3" s="1"/>
  <c r="AK26" i="1"/>
  <c r="I8" i="3" s="1"/>
  <c r="AL26" i="1"/>
  <c r="J8" i="3" s="1"/>
  <c r="AM26" i="1"/>
  <c r="K8" i="3" s="1"/>
  <c r="AN26" i="1"/>
  <c r="L8" i="3" s="1"/>
  <c r="AO26" i="1"/>
  <c r="M8" i="3" s="1"/>
  <c r="AP26" i="1"/>
  <c r="N8" i="3" s="1"/>
  <c r="AE33" i="1"/>
  <c r="AF33" i="1"/>
  <c r="D9" i="3" s="1"/>
  <c r="AG33" i="1"/>
  <c r="E9" i="3" s="1"/>
  <c r="AH33" i="1"/>
  <c r="F9" i="3" s="1"/>
  <c r="AI33" i="1"/>
  <c r="G9" i="3" s="1"/>
  <c r="AJ33" i="1"/>
  <c r="H9" i="3" s="1"/>
  <c r="AK33" i="1"/>
  <c r="I9" i="3" s="1"/>
  <c r="AL33" i="1"/>
  <c r="J9" i="3" s="1"/>
  <c r="AM33" i="1"/>
  <c r="K9" i="3" s="1"/>
  <c r="AN33" i="1"/>
  <c r="L9" i="3" s="1"/>
  <c r="AO33" i="1"/>
  <c r="M9" i="3" s="1"/>
  <c r="AP33" i="1"/>
  <c r="N9" i="3" s="1"/>
  <c r="AE40" i="1"/>
  <c r="AF40" i="1"/>
  <c r="D10" i="3" s="1"/>
  <c r="AG40" i="1"/>
  <c r="E10" i="3" s="1"/>
  <c r="AH40" i="1"/>
  <c r="F10" i="3" s="1"/>
  <c r="AI40" i="1"/>
  <c r="G10" i="3" s="1"/>
  <c r="AJ40" i="1"/>
  <c r="H10" i="3" s="1"/>
  <c r="AK40" i="1"/>
  <c r="I10" i="3" s="1"/>
  <c r="AL40" i="1"/>
  <c r="J10" i="3" s="1"/>
  <c r="AM40" i="1"/>
  <c r="K10" i="3" s="1"/>
  <c r="AN40" i="1"/>
  <c r="L10" i="3" s="1"/>
  <c r="AO40" i="1"/>
  <c r="M10" i="3" s="1"/>
  <c r="AP40" i="1"/>
  <c r="N10" i="3" s="1"/>
  <c r="AE47" i="1"/>
  <c r="AF47" i="1"/>
  <c r="D11" i="3" s="1"/>
  <c r="AG47" i="1"/>
  <c r="E11" i="3" s="1"/>
  <c r="AH47" i="1"/>
  <c r="F11" i="3" s="1"/>
  <c r="AI47" i="1"/>
  <c r="G11" i="3" s="1"/>
  <c r="AJ47" i="1"/>
  <c r="H11" i="3" s="1"/>
  <c r="AK47" i="1"/>
  <c r="I11" i="3" s="1"/>
  <c r="AL47" i="1"/>
  <c r="J11" i="3" s="1"/>
  <c r="AM47" i="1"/>
  <c r="K11" i="3" s="1"/>
  <c r="AN47" i="1"/>
  <c r="L11" i="3" s="1"/>
  <c r="AO47" i="1"/>
  <c r="M11" i="3" s="1"/>
  <c r="AP47" i="1"/>
  <c r="N11" i="3" s="1"/>
  <c r="AE54" i="1"/>
  <c r="AF54" i="1"/>
  <c r="D12" i="3" s="1"/>
  <c r="AG54" i="1"/>
  <c r="E12" i="3" s="1"/>
  <c r="AH54" i="1"/>
  <c r="F12" i="3" s="1"/>
  <c r="AI54" i="1"/>
  <c r="G12" i="3" s="1"/>
  <c r="AJ54" i="1"/>
  <c r="H12" i="3" s="1"/>
  <c r="AK54" i="1"/>
  <c r="I12" i="3" s="1"/>
  <c r="AL54" i="1"/>
  <c r="J12" i="3" s="1"/>
  <c r="AM54" i="1"/>
  <c r="K12" i="3" s="1"/>
  <c r="AN54" i="1"/>
  <c r="L12" i="3" s="1"/>
  <c r="AO54" i="1"/>
  <c r="M12" i="3" s="1"/>
  <c r="AP54" i="1"/>
  <c r="N12" i="3" s="1"/>
  <c r="AE61" i="1"/>
  <c r="AF61" i="1"/>
  <c r="D13" i="3" s="1"/>
  <c r="AG61" i="1"/>
  <c r="E13" i="3" s="1"/>
  <c r="AH61" i="1"/>
  <c r="F13" i="3" s="1"/>
  <c r="AI61" i="1"/>
  <c r="G13" i="3" s="1"/>
  <c r="AJ61" i="1"/>
  <c r="H13" i="3" s="1"/>
  <c r="AK61" i="1"/>
  <c r="I13" i="3" s="1"/>
  <c r="AL61" i="1"/>
  <c r="J13" i="3" s="1"/>
  <c r="AM61" i="1"/>
  <c r="K13" i="3" s="1"/>
  <c r="AN61" i="1"/>
  <c r="L13" i="3" s="1"/>
  <c r="AO61" i="1"/>
  <c r="M13" i="3" s="1"/>
  <c r="AP61" i="1"/>
  <c r="N13" i="3" s="1"/>
  <c r="AE68" i="1"/>
  <c r="AF68" i="1"/>
  <c r="D14" i="3" s="1"/>
  <c r="AG68" i="1"/>
  <c r="E14" i="3" s="1"/>
  <c r="AH68" i="1"/>
  <c r="F14" i="3" s="1"/>
  <c r="AI68" i="1"/>
  <c r="G14" i="3" s="1"/>
  <c r="AJ68" i="1"/>
  <c r="H14" i="3" s="1"/>
  <c r="AK68" i="1"/>
  <c r="I14" i="3" s="1"/>
  <c r="AL68" i="1"/>
  <c r="J14" i="3" s="1"/>
  <c r="AM68" i="1"/>
  <c r="K14" i="3" s="1"/>
  <c r="AN68" i="1"/>
  <c r="L14" i="3" s="1"/>
  <c r="AO68" i="1"/>
  <c r="M14" i="3" s="1"/>
  <c r="AP68" i="1"/>
  <c r="N14" i="3" s="1"/>
  <c r="AE75" i="1"/>
  <c r="AF75" i="1"/>
  <c r="D15" i="3" s="1"/>
  <c r="AG75" i="1"/>
  <c r="E15" i="3" s="1"/>
  <c r="AH75" i="1"/>
  <c r="F15" i="3" s="1"/>
  <c r="AI75" i="1"/>
  <c r="G15" i="3" s="1"/>
  <c r="AJ75" i="1"/>
  <c r="H15" i="3" s="1"/>
  <c r="AK75" i="1"/>
  <c r="I15" i="3" s="1"/>
  <c r="AL75" i="1"/>
  <c r="J15" i="3" s="1"/>
  <c r="AM75" i="1"/>
  <c r="K15" i="3" s="1"/>
  <c r="AN75" i="1"/>
  <c r="L15" i="3" s="1"/>
  <c r="AO75" i="1"/>
  <c r="M15" i="3" s="1"/>
  <c r="AP75" i="1"/>
  <c r="N15" i="3" s="1"/>
  <c r="AE82" i="1"/>
  <c r="AF82" i="1"/>
  <c r="D16" i="3" s="1"/>
  <c r="AG82" i="1"/>
  <c r="E16" i="3" s="1"/>
  <c r="AH82" i="1"/>
  <c r="F16" i="3" s="1"/>
  <c r="AI82" i="1"/>
  <c r="G16" i="3" s="1"/>
  <c r="AJ82" i="1"/>
  <c r="H16" i="3" s="1"/>
  <c r="AK82" i="1"/>
  <c r="I16" i="3" s="1"/>
  <c r="AL82" i="1"/>
  <c r="J16" i="3" s="1"/>
  <c r="AM82" i="1"/>
  <c r="K16" i="3" s="1"/>
  <c r="AN82" i="1"/>
  <c r="L16" i="3" s="1"/>
  <c r="AO82" i="1"/>
  <c r="M16" i="3" s="1"/>
  <c r="AP82" i="1"/>
  <c r="N16" i="3" s="1"/>
  <c r="AE89" i="1"/>
  <c r="AF89" i="1"/>
  <c r="D17" i="3" s="1"/>
  <c r="AG89" i="1"/>
  <c r="E17" i="3" s="1"/>
  <c r="AH89" i="1"/>
  <c r="F17" i="3" s="1"/>
  <c r="AI89" i="1"/>
  <c r="G17" i="3" s="1"/>
  <c r="AJ89" i="1"/>
  <c r="H17" i="3" s="1"/>
  <c r="AK89" i="1"/>
  <c r="I17" i="3" s="1"/>
  <c r="AL89" i="1"/>
  <c r="J17" i="3" s="1"/>
  <c r="AM89" i="1"/>
  <c r="K17" i="3" s="1"/>
  <c r="AN89" i="1"/>
  <c r="L17" i="3" s="1"/>
  <c r="AO89" i="1"/>
  <c r="M17" i="3" s="1"/>
  <c r="AP89" i="1"/>
  <c r="N17" i="3" s="1"/>
  <c r="AE96" i="1"/>
  <c r="C18" i="3" s="1"/>
  <c r="AF96" i="1"/>
  <c r="D18" i="3" s="1"/>
  <c r="AG96" i="1"/>
  <c r="E18" i="3" s="1"/>
  <c r="AH96" i="1"/>
  <c r="F18" i="3" s="1"/>
  <c r="AI96" i="1"/>
  <c r="G18" i="3" s="1"/>
  <c r="AJ96" i="1"/>
  <c r="H18" i="3" s="1"/>
  <c r="AK96" i="1"/>
  <c r="I18" i="3" s="1"/>
  <c r="AL96" i="1"/>
  <c r="J18" i="3" s="1"/>
  <c r="AM96" i="1"/>
  <c r="K18" i="3" s="1"/>
  <c r="AN96" i="1"/>
  <c r="L18" i="3" s="1"/>
  <c r="AO96" i="1"/>
  <c r="M18" i="3" s="1"/>
  <c r="AP96" i="1"/>
  <c r="N18" i="3" s="1"/>
  <c r="AE103" i="1"/>
  <c r="C19" i="3" s="1"/>
  <c r="AF103" i="1"/>
  <c r="D19" i="3" s="1"/>
  <c r="AG103" i="1"/>
  <c r="E19" i="3" s="1"/>
  <c r="AH103" i="1"/>
  <c r="F19" i="3" s="1"/>
  <c r="AI103" i="1"/>
  <c r="G19" i="3" s="1"/>
  <c r="AJ103" i="1"/>
  <c r="H19" i="3" s="1"/>
  <c r="AK103" i="1"/>
  <c r="I19" i="3" s="1"/>
  <c r="AL103" i="1"/>
  <c r="J19" i="3" s="1"/>
  <c r="AM103" i="1"/>
  <c r="K19" i="3" s="1"/>
  <c r="AN103" i="1"/>
  <c r="L19" i="3" s="1"/>
  <c r="AO103" i="1"/>
  <c r="M19" i="3" s="1"/>
  <c r="AP103" i="1"/>
  <c r="N19" i="3" s="1"/>
  <c r="AE110" i="1"/>
  <c r="C20" i="3" s="1"/>
  <c r="AF110" i="1"/>
  <c r="D20" i="3" s="1"/>
  <c r="AG110" i="1"/>
  <c r="E20" i="3" s="1"/>
  <c r="AH110" i="1"/>
  <c r="F20" i="3" s="1"/>
  <c r="AI110" i="1"/>
  <c r="G20" i="3" s="1"/>
  <c r="AJ110" i="1"/>
  <c r="H20" i="3" s="1"/>
  <c r="AK110" i="1"/>
  <c r="I20" i="3" s="1"/>
  <c r="AL110" i="1"/>
  <c r="J20" i="3" s="1"/>
  <c r="AM110" i="1"/>
  <c r="K20" i="3" s="1"/>
  <c r="AN110" i="1"/>
  <c r="L20" i="3" s="1"/>
  <c r="AO110" i="1"/>
  <c r="M20" i="3" s="1"/>
  <c r="AP110" i="1"/>
  <c r="N20" i="3" s="1"/>
  <c r="AE117" i="1"/>
  <c r="C21" i="3" s="1"/>
  <c r="AF117" i="1"/>
  <c r="D21" i="3" s="1"/>
  <c r="AG117" i="1"/>
  <c r="E21" i="3" s="1"/>
  <c r="AH117" i="1"/>
  <c r="F21" i="3" s="1"/>
  <c r="AI117" i="1"/>
  <c r="G21" i="3" s="1"/>
  <c r="AJ117" i="1"/>
  <c r="H21" i="3" s="1"/>
  <c r="AK117" i="1"/>
  <c r="I21" i="3" s="1"/>
  <c r="AL117" i="1"/>
  <c r="J21" i="3" s="1"/>
  <c r="AM117" i="1"/>
  <c r="K21" i="3" s="1"/>
  <c r="AN117" i="1"/>
  <c r="L21" i="3" s="1"/>
  <c r="AO117" i="1"/>
  <c r="M21" i="3" s="1"/>
  <c r="AP117" i="1"/>
  <c r="N21" i="3" s="1"/>
  <c r="AE124" i="1"/>
  <c r="C22" i="3" s="1"/>
  <c r="AF124" i="1"/>
  <c r="D22" i="3" s="1"/>
  <c r="AG124" i="1"/>
  <c r="E22" i="3" s="1"/>
  <c r="AH124" i="1"/>
  <c r="F22" i="3" s="1"/>
  <c r="AI124" i="1"/>
  <c r="G22" i="3" s="1"/>
  <c r="AJ124" i="1"/>
  <c r="H22" i="3" s="1"/>
  <c r="AK124" i="1"/>
  <c r="I22" i="3" s="1"/>
  <c r="AL124" i="1"/>
  <c r="J22" i="3" s="1"/>
  <c r="AM124" i="1"/>
  <c r="K22" i="3" s="1"/>
  <c r="AN124" i="1"/>
  <c r="L22" i="3" s="1"/>
  <c r="AO124" i="1"/>
  <c r="M22" i="3" s="1"/>
  <c r="AP124" i="1"/>
  <c r="N22" i="3" s="1"/>
  <c r="AE131" i="1"/>
  <c r="C23" i="3" s="1"/>
  <c r="AF131" i="1"/>
  <c r="D23" i="3" s="1"/>
  <c r="AG131" i="1"/>
  <c r="E23" i="3" s="1"/>
  <c r="AH131" i="1"/>
  <c r="F23" i="3" s="1"/>
  <c r="AI131" i="1"/>
  <c r="G23" i="3" s="1"/>
  <c r="AJ131" i="1"/>
  <c r="H23" i="3" s="1"/>
  <c r="AK131" i="1"/>
  <c r="I23" i="3" s="1"/>
  <c r="AL131" i="1"/>
  <c r="J23" i="3" s="1"/>
  <c r="AM131" i="1"/>
  <c r="K23" i="3" s="1"/>
  <c r="AN131" i="1"/>
  <c r="L23" i="3" s="1"/>
  <c r="AO131" i="1"/>
  <c r="M23" i="3" s="1"/>
  <c r="AP131" i="1"/>
  <c r="N23" i="3" s="1"/>
  <c r="AE138" i="1"/>
  <c r="C24" i="3" s="1"/>
  <c r="AF138" i="1"/>
  <c r="D24" i="3" s="1"/>
  <c r="AG138" i="1"/>
  <c r="E24" i="3" s="1"/>
  <c r="AH138" i="1"/>
  <c r="F24" i="3" s="1"/>
  <c r="AI138" i="1"/>
  <c r="G24" i="3" s="1"/>
  <c r="AJ138" i="1"/>
  <c r="H24" i="3" s="1"/>
  <c r="AK138" i="1"/>
  <c r="I24" i="3" s="1"/>
  <c r="AL138" i="1"/>
  <c r="J24" i="3" s="1"/>
  <c r="AM138" i="1"/>
  <c r="K24" i="3" s="1"/>
  <c r="AN138" i="1"/>
  <c r="L24" i="3" s="1"/>
  <c r="AO138" i="1"/>
  <c r="M24" i="3" s="1"/>
  <c r="AP138" i="1"/>
  <c r="N24" i="3" s="1"/>
  <c r="AE145" i="1"/>
  <c r="C25" i="3" s="1"/>
  <c r="AF145" i="1"/>
  <c r="D25" i="3" s="1"/>
  <c r="AG145" i="1"/>
  <c r="E25" i="3" s="1"/>
  <c r="AH145" i="1"/>
  <c r="F25" i="3" s="1"/>
  <c r="AI145" i="1"/>
  <c r="G25" i="3" s="1"/>
  <c r="AJ145" i="1"/>
  <c r="H25" i="3" s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E152" i="1"/>
  <c r="C26" i="3" s="1"/>
  <c r="AF152" i="1"/>
  <c r="D26" i="3" s="1"/>
  <c r="AG152" i="1"/>
  <c r="E26" i="3" s="1"/>
  <c r="AH152" i="1"/>
  <c r="F26" i="3" s="1"/>
  <c r="AI152" i="1"/>
  <c r="G26" i="3" s="1"/>
  <c r="AJ152" i="1"/>
  <c r="H26" i="3" s="1"/>
  <c r="AK152" i="1"/>
  <c r="I26" i="3" s="1"/>
  <c r="AL152" i="1"/>
  <c r="J26" i="3" s="1"/>
  <c r="AM152" i="1"/>
  <c r="K26" i="3" s="1"/>
  <c r="AN152" i="1"/>
  <c r="L26" i="3" s="1"/>
  <c r="AO152" i="1"/>
  <c r="M26" i="3" s="1"/>
  <c r="AP152" i="1"/>
  <c r="N26" i="3" s="1"/>
  <c r="AE159" i="1"/>
  <c r="C27" i="3" s="1"/>
  <c r="AF159" i="1"/>
  <c r="D27" i="3" s="1"/>
  <c r="AG159" i="1"/>
  <c r="E27" i="3" s="1"/>
  <c r="AH159" i="1"/>
  <c r="F27" i="3" s="1"/>
  <c r="AI159" i="1"/>
  <c r="G27" i="3" s="1"/>
  <c r="AJ159" i="1"/>
  <c r="H27" i="3" s="1"/>
  <c r="AK159" i="1"/>
  <c r="I27" i="3" s="1"/>
  <c r="AL159" i="1"/>
  <c r="J27" i="3" s="1"/>
  <c r="AM159" i="1"/>
  <c r="K27" i="3" s="1"/>
  <c r="AN159" i="1"/>
  <c r="L27" i="3" s="1"/>
  <c r="AO159" i="1"/>
  <c r="M27" i="3" s="1"/>
  <c r="AP159" i="1"/>
  <c r="N27" i="3" s="1"/>
  <c r="AE12" i="1"/>
  <c r="AF12" i="1"/>
  <c r="D6" i="3" s="1"/>
  <c r="AG12" i="1"/>
  <c r="E6" i="3" s="1"/>
  <c r="AH12" i="1"/>
  <c r="F6" i="3" s="1"/>
  <c r="AI12" i="1"/>
  <c r="G6" i="3" s="1"/>
  <c r="AJ12" i="1"/>
  <c r="H6" i="3" s="1"/>
  <c r="AK12" i="1"/>
  <c r="I6" i="3" s="1"/>
  <c r="AL12" i="1"/>
  <c r="J6" i="3" s="1"/>
  <c r="AM12" i="1"/>
  <c r="K6" i="3" s="1"/>
  <c r="AN12" i="1"/>
  <c r="L6" i="3" s="1"/>
  <c r="AO12" i="1"/>
  <c r="M6" i="3" s="1"/>
  <c r="AP12" i="1"/>
  <c r="N6" i="3" s="1"/>
  <c r="AP5" i="1"/>
  <c r="N5" i="3" s="1"/>
  <c r="AN5" i="1"/>
  <c r="L5" i="3" s="1"/>
  <c r="AL5" i="1"/>
  <c r="J5" i="3" s="1"/>
  <c r="AJ5" i="1"/>
  <c r="H5" i="3" s="1"/>
  <c r="AH5" i="1"/>
  <c r="F5" i="3" s="1"/>
  <c r="AF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AA146" i="1"/>
  <c r="AA147" i="1"/>
  <c r="AA148" i="1"/>
  <c r="AA149" i="1"/>
  <c r="AA150" i="1"/>
  <c r="AA151" i="1"/>
  <c r="AA153" i="1"/>
  <c r="AA154" i="1"/>
  <c r="AA155" i="1"/>
  <c r="AA156" i="1"/>
  <c r="AA157" i="1"/>
  <c r="AA158" i="1"/>
  <c r="AA160" i="1"/>
  <c r="AA161" i="1"/>
  <c r="AA162" i="1"/>
  <c r="AA163" i="1"/>
  <c r="AA164" i="1"/>
  <c r="AA165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60" i="1"/>
  <c r="X161" i="1"/>
  <c r="X162" i="1"/>
  <c r="X163" i="1"/>
  <c r="X164" i="1"/>
  <c r="X165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60" i="1"/>
  <c r="U161" i="1"/>
  <c r="U162" i="1"/>
  <c r="U163" i="1"/>
  <c r="U164" i="1"/>
  <c r="U165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8" i="1"/>
  <c r="L9" i="1"/>
  <c r="L10" i="1"/>
  <c r="L11" i="1"/>
  <c r="L6" i="1"/>
  <c r="L7" i="1"/>
  <c r="AX5" i="1" l="1"/>
  <c r="H56" i="2"/>
  <c r="H98" i="1" l="1"/>
  <c r="E91" i="1" l="1"/>
  <c r="H26" i="2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T26" i="2" l="1"/>
  <c r="E89" i="1"/>
  <c r="E131" i="2"/>
  <c r="AU131" i="2" s="1"/>
  <c r="H131" i="2"/>
  <c r="AT131" i="2" s="1"/>
  <c r="E133" i="1"/>
  <c r="H133" i="1"/>
  <c r="C131" i="2"/>
  <c r="C133" i="1"/>
  <c r="E89" i="2"/>
  <c r="AU89" i="2" s="1"/>
  <c r="H89" i="2"/>
  <c r="AT89" i="2" s="1"/>
  <c r="H91" i="1"/>
  <c r="AS131" i="2" l="1"/>
  <c r="E91" i="2"/>
  <c r="H91" i="2"/>
  <c r="H133" i="2"/>
  <c r="E133" i="2"/>
  <c r="AU89" i="1"/>
  <c r="H131" i="1"/>
  <c r="E131" i="1"/>
  <c r="C131" i="1"/>
  <c r="B27" i="3"/>
  <c r="C138" i="2"/>
  <c r="E138" i="2"/>
  <c r="AU138" i="2" s="1"/>
  <c r="H138" i="2"/>
  <c r="F140" i="2"/>
  <c r="G140" i="2"/>
  <c r="C145" i="2"/>
  <c r="AS145" i="2" s="1"/>
  <c r="E145" i="2"/>
  <c r="AU145" i="2" s="1"/>
  <c r="H145" i="2"/>
  <c r="F147" i="2"/>
  <c r="G147" i="2"/>
  <c r="C152" i="2"/>
  <c r="E152" i="2"/>
  <c r="AU152" i="2" s="1"/>
  <c r="F154" i="2"/>
  <c r="G154" i="2"/>
  <c r="H154" i="2"/>
  <c r="H152" i="2" s="1"/>
  <c r="C159" i="2"/>
  <c r="E159" i="2"/>
  <c r="F161" i="2"/>
  <c r="G161" i="2"/>
  <c r="H161" i="2"/>
  <c r="H159" i="2" s="1"/>
  <c r="C140" i="1"/>
  <c r="E140" i="1"/>
  <c r="F140" i="1"/>
  <c r="G140" i="1"/>
  <c r="H140" i="1"/>
  <c r="C147" i="1"/>
  <c r="E147" i="1"/>
  <c r="F147" i="1"/>
  <c r="G147" i="1"/>
  <c r="H147" i="1"/>
  <c r="C154" i="1"/>
  <c r="E154" i="1"/>
  <c r="F154" i="1"/>
  <c r="G154" i="1"/>
  <c r="H154" i="1"/>
  <c r="C161" i="1"/>
  <c r="E161" i="1"/>
  <c r="F161" i="1"/>
  <c r="G161" i="1"/>
  <c r="H161" i="1"/>
  <c r="AT145" i="2" l="1"/>
  <c r="AS152" i="2"/>
  <c r="AS138" i="2"/>
  <c r="AT152" i="2"/>
  <c r="AT138" i="2"/>
  <c r="C147" i="2"/>
  <c r="E161" i="2"/>
  <c r="D161" i="2" s="1"/>
  <c r="E140" i="2"/>
  <c r="E147" i="2"/>
  <c r="E154" i="2"/>
  <c r="D154" i="2" s="1"/>
  <c r="C161" i="2"/>
  <c r="AS131" i="1"/>
  <c r="AU131" i="1"/>
  <c r="AT131" i="1"/>
  <c r="H159" i="1"/>
  <c r="C145" i="1"/>
  <c r="C152" i="1"/>
  <c r="H138" i="1"/>
  <c r="E138" i="1"/>
  <c r="C138" i="1"/>
  <c r="E152" i="1"/>
  <c r="C159" i="1"/>
  <c r="H145" i="1"/>
  <c r="H152" i="1"/>
  <c r="D152" i="2"/>
  <c r="AV152" i="2" s="1"/>
  <c r="D159" i="2"/>
  <c r="D145" i="2"/>
  <c r="AV145" i="2" s="1"/>
  <c r="D147" i="1"/>
  <c r="D161" i="1"/>
  <c r="E159" i="1"/>
  <c r="E145" i="1"/>
  <c r="AU145" i="1" s="1"/>
  <c r="D154" i="1"/>
  <c r="D138" i="2"/>
  <c r="AV138" i="2" s="1"/>
  <c r="C154" i="2"/>
  <c r="C140" i="2"/>
  <c r="H147" i="2"/>
  <c r="D147" i="2" s="1"/>
  <c r="I147" i="2" s="1"/>
  <c r="H140" i="2"/>
  <c r="D140" i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52" i="2"/>
  <c r="P26" i="4" s="1"/>
  <c r="AQ152" i="2"/>
  <c r="O26" i="4" s="1"/>
  <c r="C26" i="4"/>
  <c r="B26" i="4"/>
  <c r="AR145" i="2"/>
  <c r="P25" i="4" s="1"/>
  <c r="AQ145" i="2"/>
  <c r="O25" i="4" s="1"/>
  <c r="C25" i="4"/>
  <c r="B25" i="4"/>
  <c r="AR138" i="2"/>
  <c r="P24" i="4" s="1"/>
  <c r="AQ138" i="2"/>
  <c r="O24" i="4" s="1"/>
  <c r="C24" i="4"/>
  <c r="B24" i="4"/>
  <c r="G133" i="2"/>
  <c r="F133" i="2"/>
  <c r="AR131" i="2"/>
  <c r="P23" i="4" s="1"/>
  <c r="AQ131" i="2"/>
  <c r="O23" i="4" s="1"/>
  <c r="C23" i="4"/>
  <c r="B23" i="4"/>
  <c r="C133" i="2"/>
  <c r="G126" i="2"/>
  <c r="F126" i="2"/>
  <c r="E126" i="2"/>
  <c r="E124" i="2" s="1"/>
  <c r="AR124" i="2"/>
  <c r="P22" i="4" s="1"/>
  <c r="AQ124" i="2"/>
  <c r="O22" i="4" s="1"/>
  <c r="C22" i="4"/>
  <c r="B22" i="4"/>
  <c r="H124" i="2"/>
  <c r="C124" i="2"/>
  <c r="AS124" i="2" s="1"/>
  <c r="G119" i="2"/>
  <c r="F119" i="2"/>
  <c r="E119" i="2"/>
  <c r="AR117" i="2"/>
  <c r="P21" i="4" s="1"/>
  <c r="AQ117" i="2"/>
  <c r="O21" i="4" s="1"/>
  <c r="C21" i="4"/>
  <c r="B21" i="4"/>
  <c r="H117" i="2"/>
  <c r="AT117" i="2" s="1"/>
  <c r="C117" i="2"/>
  <c r="AS117" i="2" s="1"/>
  <c r="G112" i="2"/>
  <c r="F112" i="2"/>
  <c r="E112" i="2"/>
  <c r="E110" i="2" s="1"/>
  <c r="AU110" i="2" s="1"/>
  <c r="AR110" i="2"/>
  <c r="P20" i="4" s="1"/>
  <c r="AQ110" i="2"/>
  <c r="O20" i="4" s="1"/>
  <c r="C20" i="4"/>
  <c r="B20" i="4"/>
  <c r="H110" i="2"/>
  <c r="AT110" i="2" s="1"/>
  <c r="C110" i="2"/>
  <c r="G105" i="2"/>
  <c r="F105" i="2"/>
  <c r="E105" i="2"/>
  <c r="AR103" i="2"/>
  <c r="P19" i="4" s="1"/>
  <c r="AQ103" i="2"/>
  <c r="O19" i="4" s="1"/>
  <c r="C19" i="4"/>
  <c r="B19" i="4"/>
  <c r="H103" i="2"/>
  <c r="C103" i="2"/>
  <c r="AS103" i="2" s="1"/>
  <c r="G98" i="2"/>
  <c r="F98" i="2"/>
  <c r="AR96" i="2"/>
  <c r="P18" i="4" s="1"/>
  <c r="AQ96" i="2"/>
  <c r="O18" i="4" s="1"/>
  <c r="C18" i="4"/>
  <c r="B18" i="4"/>
  <c r="H96" i="2"/>
  <c r="E96" i="2"/>
  <c r="AU96" i="2" s="1"/>
  <c r="C96" i="2"/>
  <c r="AS96" i="2" s="1"/>
  <c r="G91" i="2"/>
  <c r="F91" i="2"/>
  <c r="AR89" i="2"/>
  <c r="P17" i="4" s="1"/>
  <c r="AQ89" i="2"/>
  <c r="O17" i="4" s="1"/>
  <c r="C17" i="4"/>
  <c r="B17" i="4"/>
  <c r="C89" i="2"/>
  <c r="AS89" i="2" s="1"/>
  <c r="G84" i="2"/>
  <c r="F84" i="2"/>
  <c r="AR82" i="2"/>
  <c r="P16" i="4" s="1"/>
  <c r="AQ82" i="2"/>
  <c r="O16" i="4" s="1"/>
  <c r="C16" i="4"/>
  <c r="B16" i="4"/>
  <c r="H82" i="2"/>
  <c r="AT82" i="2" s="1"/>
  <c r="E82" i="2"/>
  <c r="C82" i="2"/>
  <c r="G77" i="2"/>
  <c r="F77" i="2"/>
  <c r="AR75" i="2"/>
  <c r="P15" i="4" s="1"/>
  <c r="AQ75" i="2"/>
  <c r="O15" i="4" s="1"/>
  <c r="C15" i="4"/>
  <c r="B15" i="4"/>
  <c r="H75" i="2"/>
  <c r="AT75" i="2" s="1"/>
  <c r="E75" i="2"/>
  <c r="C75" i="2"/>
  <c r="AS75" i="2" s="1"/>
  <c r="G70" i="2"/>
  <c r="F70" i="2"/>
  <c r="AR68" i="2"/>
  <c r="P14" i="4" s="1"/>
  <c r="AQ68" i="2"/>
  <c r="O14" i="4" s="1"/>
  <c r="C14" i="4"/>
  <c r="B14" i="4"/>
  <c r="H68" i="2"/>
  <c r="AT68" i="2" s="1"/>
  <c r="E68" i="2"/>
  <c r="C68" i="2"/>
  <c r="AS68" i="2" s="1"/>
  <c r="H63" i="2"/>
  <c r="G63" i="2"/>
  <c r="F63" i="2"/>
  <c r="AR61" i="2"/>
  <c r="P13" i="4" s="1"/>
  <c r="AQ61" i="2"/>
  <c r="O13" i="4" s="1"/>
  <c r="C13" i="4"/>
  <c r="B13" i="4"/>
  <c r="E61" i="2"/>
  <c r="AU61" i="2" s="1"/>
  <c r="C61" i="2"/>
  <c r="G56" i="2"/>
  <c r="F56" i="2"/>
  <c r="E56" i="2"/>
  <c r="AR54" i="2"/>
  <c r="P12" i="4" s="1"/>
  <c r="AQ54" i="2"/>
  <c r="O12" i="4" s="1"/>
  <c r="C12" i="4"/>
  <c r="B12" i="4"/>
  <c r="C54" i="2"/>
  <c r="H49" i="2"/>
  <c r="G49" i="2"/>
  <c r="F49" i="2"/>
  <c r="E49" i="2"/>
  <c r="AR47" i="2"/>
  <c r="AQ47" i="2"/>
  <c r="O11" i="4" s="1"/>
  <c r="C11" i="4"/>
  <c r="B11" i="4"/>
  <c r="C47" i="2"/>
  <c r="AS47" i="2" s="1"/>
  <c r="F42" i="2"/>
  <c r="AR40" i="2"/>
  <c r="AQ40" i="2"/>
  <c r="O10" i="4" s="1"/>
  <c r="C10" i="4"/>
  <c r="B10" i="4"/>
  <c r="H40" i="2"/>
  <c r="E40" i="2"/>
  <c r="AU40" i="2" s="1"/>
  <c r="C40" i="2"/>
  <c r="G35" i="2"/>
  <c r="F35" i="2"/>
  <c r="AR33" i="2"/>
  <c r="AQ33" i="2"/>
  <c r="O9" i="4" s="1"/>
  <c r="C9" i="4"/>
  <c r="B9" i="4"/>
  <c r="H33" i="2"/>
  <c r="AT33" i="2" s="1"/>
  <c r="E33" i="2"/>
  <c r="AU33" i="2" s="1"/>
  <c r="C33" i="2"/>
  <c r="AS33" i="2" s="1"/>
  <c r="G28" i="2"/>
  <c r="F28" i="2"/>
  <c r="AR26" i="2"/>
  <c r="P8" i="4" s="1"/>
  <c r="AQ26" i="2"/>
  <c r="O8" i="4" s="1"/>
  <c r="C8" i="4"/>
  <c r="B8" i="4"/>
  <c r="H28" i="2"/>
  <c r="E26" i="2"/>
  <c r="C26" i="2"/>
  <c r="AS26" i="2" s="1"/>
  <c r="G21" i="2"/>
  <c r="F21" i="2"/>
  <c r="AR19" i="2"/>
  <c r="P7" i="4" s="1"/>
  <c r="AQ19" i="2"/>
  <c r="O7" i="4" s="1"/>
  <c r="C7" i="4"/>
  <c r="B7" i="4"/>
  <c r="H19" i="2"/>
  <c r="AT19" i="2" s="1"/>
  <c r="E19" i="2"/>
  <c r="C19" i="2"/>
  <c r="AS19" i="2" s="1"/>
  <c r="H14" i="2"/>
  <c r="G14" i="2"/>
  <c r="F14" i="2"/>
  <c r="AR12" i="2"/>
  <c r="AQ12" i="2"/>
  <c r="O6" i="4" s="1"/>
  <c r="C6" i="4"/>
  <c r="B6" i="4"/>
  <c r="E12" i="2"/>
  <c r="C12" i="2"/>
  <c r="AS12" i="2" s="1"/>
  <c r="F7" i="2"/>
  <c r="E7" i="2"/>
  <c r="AR5" i="2"/>
  <c r="P5" i="4" s="1"/>
  <c r="AQ5" i="2"/>
  <c r="O5" i="4" s="1"/>
  <c r="AO5" i="2"/>
  <c r="M5" i="4" s="1"/>
  <c r="AM5" i="2"/>
  <c r="K5" i="4" s="1"/>
  <c r="AK5" i="2"/>
  <c r="I5" i="4" s="1"/>
  <c r="AI5" i="2"/>
  <c r="G5" i="4" s="1"/>
  <c r="AG5" i="2"/>
  <c r="E5" i="4" s="1"/>
  <c r="AE5" i="2"/>
  <c r="C5" i="4" s="1"/>
  <c r="AD5" i="2"/>
  <c r="B5" i="4" s="1"/>
  <c r="H5" i="2"/>
  <c r="AT5" i="2" s="1"/>
  <c r="AQ152" i="1"/>
  <c r="O26" i="3" s="1"/>
  <c r="AD152" i="1"/>
  <c r="B26" i="3" s="1"/>
  <c r="AQ145" i="1"/>
  <c r="O25" i="3" s="1"/>
  <c r="AD145" i="1"/>
  <c r="B25" i="3" s="1"/>
  <c r="AQ138" i="1"/>
  <c r="O24" i="3" s="1"/>
  <c r="AD138" i="1"/>
  <c r="B24" i="3" s="1"/>
  <c r="G133" i="1"/>
  <c r="F133" i="1"/>
  <c r="D133" i="1"/>
  <c r="AQ131" i="1"/>
  <c r="O23" i="3" s="1"/>
  <c r="AD131" i="1"/>
  <c r="B23" i="3" s="1"/>
  <c r="H126" i="1"/>
  <c r="G126" i="1"/>
  <c r="F126" i="1"/>
  <c r="E126" i="1"/>
  <c r="C126" i="1"/>
  <c r="AQ124" i="1"/>
  <c r="O22" i="3" s="1"/>
  <c r="AD124" i="1"/>
  <c r="B22" i="3" s="1"/>
  <c r="H119" i="1"/>
  <c r="G119" i="1"/>
  <c r="F119" i="1"/>
  <c r="E119" i="1"/>
  <c r="C119" i="1"/>
  <c r="AQ117" i="1"/>
  <c r="O21" i="3" s="1"/>
  <c r="AD117" i="1"/>
  <c r="B21" i="3" s="1"/>
  <c r="H112" i="1"/>
  <c r="G112" i="1"/>
  <c r="F112" i="1"/>
  <c r="E112" i="1"/>
  <c r="C112" i="1"/>
  <c r="AQ110" i="1"/>
  <c r="O20" i="3" s="1"/>
  <c r="AD110" i="1"/>
  <c r="B20" i="3" s="1"/>
  <c r="H105" i="1"/>
  <c r="G105" i="1"/>
  <c r="F105" i="1"/>
  <c r="E105" i="1"/>
  <c r="C105" i="1"/>
  <c r="AQ103" i="1"/>
  <c r="O19" i="3" s="1"/>
  <c r="AD103" i="1"/>
  <c r="B19" i="3" s="1"/>
  <c r="H96" i="1"/>
  <c r="AT96" i="1" s="1"/>
  <c r="G98" i="1"/>
  <c r="F98" i="1"/>
  <c r="E98" i="1"/>
  <c r="C98" i="1"/>
  <c r="AQ96" i="1"/>
  <c r="O18" i="3" s="1"/>
  <c r="AD96" i="1"/>
  <c r="B18" i="3" s="1"/>
  <c r="H89" i="1"/>
  <c r="AT89" i="1" s="1"/>
  <c r="G91" i="1"/>
  <c r="F91" i="1"/>
  <c r="C91" i="1"/>
  <c r="AQ89" i="1"/>
  <c r="O17" i="3" s="1"/>
  <c r="C17" i="3"/>
  <c r="AD89" i="1"/>
  <c r="B17" i="3" s="1"/>
  <c r="H84" i="1"/>
  <c r="G84" i="1"/>
  <c r="F84" i="1"/>
  <c r="E84" i="1"/>
  <c r="C84" i="1"/>
  <c r="AQ82" i="1"/>
  <c r="O16" i="3" s="1"/>
  <c r="C16" i="3"/>
  <c r="AD82" i="1"/>
  <c r="B16" i="3" s="1"/>
  <c r="H77" i="1"/>
  <c r="G77" i="1"/>
  <c r="F77" i="1"/>
  <c r="E77" i="1"/>
  <c r="C77" i="1"/>
  <c r="AQ75" i="1"/>
  <c r="O15" i="3" s="1"/>
  <c r="C15" i="3"/>
  <c r="AD75" i="1"/>
  <c r="B15" i="3" s="1"/>
  <c r="H70" i="1"/>
  <c r="G70" i="1"/>
  <c r="F70" i="1"/>
  <c r="E70" i="1"/>
  <c r="C70" i="1"/>
  <c r="AQ68" i="1"/>
  <c r="O14" i="3" s="1"/>
  <c r="C14" i="3"/>
  <c r="AD68" i="1"/>
  <c r="B14" i="3" s="1"/>
  <c r="H63" i="1"/>
  <c r="G63" i="1"/>
  <c r="F63" i="1"/>
  <c r="E63" i="1"/>
  <c r="C63" i="1"/>
  <c r="AQ61" i="1"/>
  <c r="O13" i="3" s="1"/>
  <c r="C13" i="3"/>
  <c r="AD61" i="1"/>
  <c r="B13" i="3" s="1"/>
  <c r="H56" i="1"/>
  <c r="G56" i="1"/>
  <c r="F56" i="1"/>
  <c r="E56" i="1"/>
  <c r="AQ54" i="1"/>
  <c r="O12" i="3" s="1"/>
  <c r="C12" i="3"/>
  <c r="AD54" i="1"/>
  <c r="B12" i="3" s="1"/>
  <c r="C54" i="1"/>
  <c r="AS54" i="1" s="1"/>
  <c r="H49" i="1"/>
  <c r="G49" i="1"/>
  <c r="F49" i="1"/>
  <c r="E49" i="1"/>
  <c r="AQ47" i="1"/>
  <c r="O11" i="3" s="1"/>
  <c r="C11" i="3"/>
  <c r="AD47" i="1"/>
  <c r="B11" i="3" s="1"/>
  <c r="C47" i="1"/>
  <c r="AS47" i="1" s="1"/>
  <c r="G42" i="1"/>
  <c r="F42" i="1"/>
  <c r="AQ40" i="1"/>
  <c r="O10" i="3" s="1"/>
  <c r="C10" i="3"/>
  <c r="AD40" i="1"/>
  <c r="B10" i="3" s="1"/>
  <c r="H40" i="1"/>
  <c r="AT40" i="1" s="1"/>
  <c r="E40" i="1"/>
  <c r="AU40" i="1" s="1"/>
  <c r="C40" i="1"/>
  <c r="AS40" i="1" s="1"/>
  <c r="G35" i="1"/>
  <c r="F35" i="1"/>
  <c r="AQ33" i="1"/>
  <c r="O9" i="3" s="1"/>
  <c r="C9" i="3"/>
  <c r="AD33" i="1"/>
  <c r="B9" i="3" s="1"/>
  <c r="H33" i="1"/>
  <c r="AT33" i="1" s="1"/>
  <c r="E33" i="1"/>
  <c r="AU33" i="1" s="1"/>
  <c r="C33" i="1"/>
  <c r="AS33" i="1" s="1"/>
  <c r="G28" i="1"/>
  <c r="F28" i="1"/>
  <c r="AQ26" i="1"/>
  <c r="O8" i="3" s="1"/>
  <c r="C8" i="3"/>
  <c r="AD26" i="1"/>
  <c r="B8" i="3" s="1"/>
  <c r="H26" i="1"/>
  <c r="AT26" i="1" s="1"/>
  <c r="E26" i="1"/>
  <c r="AU26" i="1" s="1"/>
  <c r="C26" i="1"/>
  <c r="AS26" i="1" s="1"/>
  <c r="G21" i="1"/>
  <c r="F21" i="1"/>
  <c r="AQ19" i="1"/>
  <c r="O7" i="3" s="1"/>
  <c r="C7" i="3"/>
  <c r="AD19" i="1"/>
  <c r="B7" i="3" s="1"/>
  <c r="H19" i="1"/>
  <c r="E19" i="1"/>
  <c r="C19" i="1"/>
  <c r="G14" i="1"/>
  <c r="F14" i="1"/>
  <c r="AQ12" i="1"/>
  <c r="O6" i="3" s="1"/>
  <c r="C6" i="3"/>
  <c r="AD12" i="1"/>
  <c r="B6" i="3" s="1"/>
  <c r="H12" i="1"/>
  <c r="E12" i="1"/>
  <c r="C12" i="1"/>
  <c r="F7" i="1"/>
  <c r="AQ5" i="1"/>
  <c r="O5" i="3" s="1"/>
  <c r="AO5" i="1"/>
  <c r="M5" i="3" s="1"/>
  <c r="AM5" i="1"/>
  <c r="K5" i="3" s="1"/>
  <c r="AK5" i="1"/>
  <c r="I5" i="3" s="1"/>
  <c r="AI5" i="1"/>
  <c r="G5" i="3" s="1"/>
  <c r="AG5" i="1"/>
  <c r="E5" i="3" s="1"/>
  <c r="AE5" i="1"/>
  <c r="C5" i="3" s="1"/>
  <c r="AD5" i="1"/>
  <c r="B5" i="3" s="1"/>
  <c r="H5" i="1"/>
  <c r="E5" i="1"/>
  <c r="C5" i="1"/>
  <c r="AU75" i="2" l="1"/>
  <c r="AU124" i="2"/>
  <c r="AT124" i="2"/>
  <c r="I161" i="2"/>
  <c r="AU12" i="2"/>
  <c r="AU26" i="2"/>
  <c r="AU19" i="2"/>
  <c r="AS82" i="2"/>
  <c r="AT96" i="2"/>
  <c r="AS54" i="2"/>
  <c r="AU68" i="2"/>
  <c r="AU82" i="2"/>
  <c r="D140" i="2"/>
  <c r="I140" i="2" s="1"/>
  <c r="AS61" i="2"/>
  <c r="AT40" i="2"/>
  <c r="AS110" i="2"/>
  <c r="AS40" i="2"/>
  <c r="AT103" i="2"/>
  <c r="H7" i="2"/>
  <c r="C28" i="2"/>
  <c r="I138" i="2"/>
  <c r="H70" i="2"/>
  <c r="H84" i="2"/>
  <c r="E63" i="2"/>
  <c r="C77" i="2"/>
  <c r="C91" i="2"/>
  <c r="I145" i="2"/>
  <c r="E35" i="2"/>
  <c r="C98" i="2"/>
  <c r="I159" i="2"/>
  <c r="H77" i="2"/>
  <c r="C126" i="2"/>
  <c r="H35" i="2"/>
  <c r="C70" i="2"/>
  <c r="H112" i="2"/>
  <c r="I152" i="2"/>
  <c r="AU138" i="1"/>
  <c r="AU5" i="1"/>
  <c r="AS12" i="1"/>
  <c r="AT152" i="1"/>
  <c r="AT138" i="1"/>
  <c r="AS138" i="1"/>
  <c r="AU12" i="1"/>
  <c r="AT145" i="1"/>
  <c r="AS152" i="1"/>
  <c r="AT5" i="1"/>
  <c r="AT12" i="1"/>
  <c r="AS19" i="1"/>
  <c r="AT19" i="1"/>
  <c r="AS145" i="1"/>
  <c r="AU19" i="1"/>
  <c r="AU152" i="1"/>
  <c r="D138" i="1"/>
  <c r="C7" i="1"/>
  <c r="I147" i="1"/>
  <c r="H35" i="1"/>
  <c r="H47" i="1"/>
  <c r="AT47" i="1" s="1"/>
  <c r="E54" i="1"/>
  <c r="AU54" i="1" s="1"/>
  <c r="H61" i="1"/>
  <c r="AT61" i="1" s="1"/>
  <c r="E68" i="1"/>
  <c r="E82" i="1"/>
  <c r="E124" i="1"/>
  <c r="D145" i="1"/>
  <c r="C21" i="1"/>
  <c r="E117" i="1"/>
  <c r="AU117" i="1" s="1"/>
  <c r="I161" i="1"/>
  <c r="C68" i="1"/>
  <c r="C103" i="1"/>
  <c r="AS103" i="1" s="1"/>
  <c r="E7" i="1"/>
  <c r="C28" i="1"/>
  <c r="C56" i="1"/>
  <c r="C110" i="1"/>
  <c r="H117" i="1"/>
  <c r="AT117" i="1" s="1"/>
  <c r="D159" i="1"/>
  <c r="C49" i="1"/>
  <c r="H7" i="1"/>
  <c r="E14" i="1"/>
  <c r="E28" i="1"/>
  <c r="C75" i="1"/>
  <c r="AS75" i="1" s="1"/>
  <c r="C89" i="1"/>
  <c r="AS89" i="1" s="1"/>
  <c r="D152" i="1"/>
  <c r="AV152" i="1" s="1"/>
  <c r="H42" i="1"/>
  <c r="E47" i="1"/>
  <c r="AU47" i="1" s="1"/>
  <c r="H54" i="1"/>
  <c r="AT54" i="1" s="1"/>
  <c r="H68" i="1"/>
  <c r="AT68" i="1" s="1"/>
  <c r="H82" i="1"/>
  <c r="AT82" i="1" s="1"/>
  <c r="H103" i="1"/>
  <c r="AT103" i="1" s="1"/>
  <c r="C117" i="1"/>
  <c r="AS117" i="1" s="1"/>
  <c r="H124" i="1"/>
  <c r="AT124" i="1" s="1"/>
  <c r="I140" i="1"/>
  <c r="H61" i="2"/>
  <c r="AT61" i="2" s="1"/>
  <c r="D7" i="2"/>
  <c r="I7" i="2" s="1"/>
  <c r="E75" i="1"/>
  <c r="AU75" i="1" s="1"/>
  <c r="C96" i="1"/>
  <c r="AS96" i="1" s="1"/>
  <c r="C124" i="1"/>
  <c r="AS124" i="1" s="1"/>
  <c r="D126" i="1"/>
  <c r="D119" i="1"/>
  <c r="I145" i="1"/>
  <c r="AY145" i="1" s="1"/>
  <c r="D19" i="1"/>
  <c r="I154" i="1"/>
  <c r="E47" i="2"/>
  <c r="AU47" i="2" s="1"/>
  <c r="I154" i="2"/>
  <c r="E96" i="1"/>
  <c r="AU96" i="1" s="1"/>
  <c r="D12" i="1"/>
  <c r="H28" i="1"/>
  <c r="E110" i="1"/>
  <c r="AU110" i="1" s="1"/>
  <c r="C82" i="1"/>
  <c r="AS82" i="1" s="1"/>
  <c r="H21" i="1"/>
  <c r="H75" i="1"/>
  <c r="AT75" i="1" s="1"/>
  <c r="H110" i="1"/>
  <c r="D112" i="1"/>
  <c r="D33" i="1"/>
  <c r="AV33" i="1" s="1"/>
  <c r="D49" i="1"/>
  <c r="D63" i="1"/>
  <c r="D70" i="1"/>
  <c r="D105" i="1"/>
  <c r="D26" i="1"/>
  <c r="AV26" i="1" s="1"/>
  <c r="E103" i="1"/>
  <c r="AU103" i="1" s="1"/>
  <c r="AS5" i="1"/>
  <c r="H54" i="2"/>
  <c r="AT54" i="2" s="1"/>
  <c r="H47" i="2"/>
  <c r="AT47" i="2" s="1"/>
  <c r="E103" i="2"/>
  <c r="AU103" i="2" s="1"/>
  <c r="H119" i="2"/>
  <c r="D119" i="2" s="1"/>
  <c r="D91" i="1"/>
  <c r="D33" i="2"/>
  <c r="AV33" i="2" s="1"/>
  <c r="D82" i="2"/>
  <c r="AV82" i="2" s="1"/>
  <c r="D49" i="2"/>
  <c r="D5" i="2"/>
  <c r="AV5" i="2" s="1"/>
  <c r="C84" i="2"/>
  <c r="H126" i="2"/>
  <c r="C49" i="2"/>
  <c r="H98" i="2"/>
  <c r="E117" i="2"/>
  <c r="D68" i="2"/>
  <c r="E70" i="2"/>
  <c r="E21" i="2"/>
  <c r="E14" i="2"/>
  <c r="D12" i="2"/>
  <c r="AV12" i="2" s="1"/>
  <c r="D89" i="2"/>
  <c r="AV89" i="2" s="1"/>
  <c r="H105" i="2"/>
  <c r="C42" i="2"/>
  <c r="E28" i="2"/>
  <c r="C56" i="2"/>
  <c r="C63" i="2"/>
  <c r="E77" i="2"/>
  <c r="C112" i="2"/>
  <c r="E42" i="2"/>
  <c r="E84" i="2"/>
  <c r="C105" i="2"/>
  <c r="D124" i="2"/>
  <c r="D40" i="2"/>
  <c r="C119" i="2"/>
  <c r="C14" i="2"/>
  <c r="H21" i="2"/>
  <c r="E98" i="2"/>
  <c r="D96" i="2"/>
  <c r="D110" i="2"/>
  <c r="D40" i="1"/>
  <c r="I133" i="1"/>
  <c r="C61" i="1"/>
  <c r="AS61" i="1" s="1"/>
  <c r="E35" i="1"/>
  <c r="E61" i="1"/>
  <c r="D98" i="1"/>
  <c r="D56" i="1"/>
  <c r="D77" i="1"/>
  <c r="C14" i="1"/>
  <c r="E21" i="1"/>
  <c r="C35" i="1"/>
  <c r="C42" i="1"/>
  <c r="E42" i="1"/>
  <c r="D5" i="1"/>
  <c r="H14" i="1"/>
  <c r="D84" i="1"/>
  <c r="E54" i="2"/>
  <c r="D56" i="2"/>
  <c r="D19" i="2"/>
  <c r="C35" i="2"/>
  <c r="D26" i="2"/>
  <c r="D131" i="2"/>
  <c r="D75" i="2"/>
  <c r="AV75" i="2" s="1"/>
  <c r="AV96" i="2" l="1"/>
  <c r="AY145" i="2"/>
  <c r="AY138" i="2"/>
  <c r="AV68" i="2"/>
  <c r="AV40" i="2"/>
  <c r="AV124" i="2"/>
  <c r="AV131" i="2"/>
  <c r="AY152" i="2"/>
  <c r="AU54" i="2"/>
  <c r="AV19" i="2"/>
  <c r="AV110" i="2"/>
  <c r="AU117" i="2"/>
  <c r="AV26" i="2"/>
  <c r="I5" i="2"/>
  <c r="AY5" i="2" s="1"/>
  <c r="D103" i="2"/>
  <c r="D63" i="2"/>
  <c r="D112" i="2"/>
  <c r="D35" i="2"/>
  <c r="I35" i="2" s="1"/>
  <c r="AV40" i="1"/>
  <c r="AV5" i="1"/>
  <c r="AV12" i="1"/>
  <c r="AU82" i="1"/>
  <c r="AU61" i="1"/>
  <c r="AV19" i="1"/>
  <c r="AS110" i="1"/>
  <c r="AV145" i="1"/>
  <c r="AT110" i="1"/>
  <c r="AS68" i="1"/>
  <c r="AU124" i="1"/>
  <c r="AU68" i="1"/>
  <c r="I138" i="1"/>
  <c r="AY138" i="1" s="1"/>
  <c r="AV138" i="1"/>
  <c r="D47" i="1"/>
  <c r="AV47" i="1" s="1"/>
  <c r="D54" i="1"/>
  <c r="AV54" i="1" s="1"/>
  <c r="D68" i="1"/>
  <c r="I152" i="1"/>
  <c r="D124" i="1"/>
  <c r="D7" i="1"/>
  <c r="I7" i="1" s="1"/>
  <c r="I159" i="1"/>
  <c r="D82" i="1"/>
  <c r="D117" i="1"/>
  <c r="D61" i="2"/>
  <c r="AV61" i="2" s="1"/>
  <c r="I33" i="2"/>
  <c r="AY33" i="2" s="1"/>
  <c r="I119" i="1"/>
  <c r="I98" i="1"/>
  <c r="I19" i="1"/>
  <c r="D96" i="1"/>
  <c r="AV96" i="1" s="1"/>
  <c r="I26" i="1"/>
  <c r="AY26" i="1" s="1"/>
  <c r="I70" i="1"/>
  <c r="D75" i="1"/>
  <c r="AV75" i="1" s="1"/>
  <c r="I126" i="1"/>
  <c r="D28" i="1"/>
  <c r="I63" i="1"/>
  <c r="I12" i="1"/>
  <c r="I33" i="1"/>
  <c r="AY33" i="1" s="1"/>
  <c r="I112" i="1"/>
  <c r="I49" i="1"/>
  <c r="D47" i="2"/>
  <c r="D21" i="1"/>
  <c r="D110" i="1"/>
  <c r="I5" i="1"/>
  <c r="I56" i="1"/>
  <c r="D42" i="1"/>
  <c r="I77" i="1"/>
  <c r="D35" i="1"/>
  <c r="I40" i="1"/>
  <c r="AY40" i="1" s="1"/>
  <c r="I54" i="1"/>
  <c r="AY54" i="1" s="1"/>
  <c r="I84" i="1"/>
  <c r="I105" i="1"/>
  <c r="D103" i="1"/>
  <c r="D14" i="1"/>
  <c r="D61" i="1"/>
  <c r="I75" i="2"/>
  <c r="AY75" i="2" s="1"/>
  <c r="D84" i="2"/>
  <c r="I82" i="2"/>
  <c r="AY82" i="2" s="1"/>
  <c r="I91" i="1"/>
  <c r="D89" i="1"/>
  <c r="D131" i="1"/>
  <c r="AV131" i="1" s="1"/>
  <c r="D28" i="2"/>
  <c r="D70" i="2"/>
  <c r="I26" i="2"/>
  <c r="AY26" i="2" s="1"/>
  <c r="I49" i="2"/>
  <c r="D54" i="2"/>
  <c r="I12" i="2"/>
  <c r="AY12" i="2" s="1"/>
  <c r="D77" i="2"/>
  <c r="D14" i="2"/>
  <c r="D98" i="2"/>
  <c r="D21" i="2"/>
  <c r="I19" i="2"/>
  <c r="AY19" i="2" s="1"/>
  <c r="I119" i="2"/>
  <c r="D91" i="2"/>
  <c r="I124" i="2"/>
  <c r="AY124" i="2" s="1"/>
  <c r="I68" i="2"/>
  <c r="AY68" i="2" s="1"/>
  <c r="D105" i="2"/>
  <c r="D126" i="2"/>
  <c r="I131" i="2"/>
  <c r="AY131" i="2" s="1"/>
  <c r="I56" i="2"/>
  <c r="I110" i="2"/>
  <c r="AY110" i="2" s="1"/>
  <c r="I112" i="2"/>
  <c r="D133" i="2"/>
  <c r="I89" i="2"/>
  <c r="AY89" i="2" s="1"/>
  <c r="I96" i="2"/>
  <c r="AY96" i="2" s="1"/>
  <c r="I40" i="2"/>
  <c r="AY40" i="2" s="1"/>
  <c r="D42" i="2"/>
  <c r="D117" i="2"/>
  <c r="AV47" i="2" l="1"/>
  <c r="AV117" i="2"/>
  <c r="AV54" i="2"/>
  <c r="I103" i="2"/>
  <c r="AY103" i="2" s="1"/>
  <c r="AV103" i="2"/>
  <c r="I63" i="2"/>
  <c r="I61" i="2"/>
  <c r="AY61" i="2" s="1"/>
  <c r="I124" i="1"/>
  <c r="AY124" i="1" s="1"/>
  <c r="AV124" i="1"/>
  <c r="AY12" i="1"/>
  <c r="AY152" i="1"/>
  <c r="AV103" i="1"/>
  <c r="I47" i="1"/>
  <c r="AY47" i="1" s="1"/>
  <c r="AV117" i="1"/>
  <c r="I82" i="1"/>
  <c r="AY82" i="1" s="1"/>
  <c r="AV82" i="1"/>
  <c r="AY5" i="1"/>
  <c r="AV89" i="1"/>
  <c r="AV61" i="1"/>
  <c r="AV110" i="1"/>
  <c r="AY19" i="1"/>
  <c r="AV68" i="1"/>
  <c r="I68" i="1"/>
  <c r="AY68" i="1" s="1"/>
  <c r="I117" i="1"/>
  <c r="AY117" i="1" s="1"/>
  <c r="I131" i="1"/>
  <c r="AY131" i="1" s="1"/>
  <c r="I28" i="1"/>
  <c r="I96" i="1"/>
  <c r="AY96" i="1" s="1"/>
  <c r="I42" i="1"/>
  <c r="I75" i="1"/>
  <c r="AY75" i="1" s="1"/>
  <c r="I14" i="1"/>
  <c r="I35" i="1"/>
  <c r="I47" i="2"/>
  <c r="AY47" i="2" s="1"/>
  <c r="I110" i="1"/>
  <c r="AY110" i="1" s="1"/>
  <c r="I103" i="1"/>
  <c r="AY103" i="1" s="1"/>
  <c r="I21" i="1"/>
  <c r="I61" i="1"/>
  <c r="AY61" i="1" s="1"/>
  <c r="I28" i="2"/>
  <c r="I84" i="2"/>
  <c r="I89" i="1"/>
  <c r="AY89" i="1" s="1"/>
  <c r="I54" i="2"/>
  <c r="AY54" i="2" s="1"/>
  <c r="I105" i="2"/>
  <c r="I98" i="2"/>
  <c r="I77" i="2"/>
  <c r="I133" i="2"/>
  <c r="I126" i="2"/>
  <c r="I91" i="2"/>
  <c r="I70" i="2"/>
  <c r="I21" i="2"/>
  <c r="I117" i="2"/>
  <c r="AY117" i="2" s="1"/>
  <c r="I14" i="2"/>
  <c r="I42" i="2"/>
</calcChain>
</file>

<file path=xl/sharedStrings.xml><?xml version="1.0" encoding="utf-8"?>
<sst xmlns="http://schemas.openxmlformats.org/spreadsheetml/2006/main" count="1686" uniqueCount="571">
  <si>
    <t>菜單</t>
  </si>
  <si>
    <t>A3</t>
  </si>
  <si>
    <t>A4</t>
  </si>
  <si>
    <t>A5</t>
  </si>
  <si>
    <t>B1</t>
  </si>
  <si>
    <t>B2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</si>
  <si>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</si>
  <si>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</si>
  <si>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</si>
  <si>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</si>
  <si>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</si>
  <si>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</si>
  <si>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</si>
  <si>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</si>
  <si>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</si>
  <si>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</si>
  <si>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</si>
  <si>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</si>
  <si>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</si>
  <si>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</si>
  <si>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時蔬</t>
  </si>
  <si>
    <t>D3</t>
  </si>
  <si>
    <t>D4</t>
  </si>
  <si>
    <t>D5</t>
  </si>
  <si>
    <t>E1</t>
  </si>
  <si>
    <t>E2</t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</si>
  <si>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</si>
  <si>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</si>
  <si>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雞蛋</t>
    </r>
  </si>
  <si>
    <t>E3</t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</si>
  <si>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</si>
  <si>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</si>
  <si>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乾銀耳</t>
    </r>
  </si>
  <si>
    <t>E4</t>
  </si>
  <si>
    <r>
      <rPr>
        <sz val="13"/>
        <color theme="1"/>
        <rFont val="標楷體"/>
        <family val="4"/>
        <charset val="136"/>
      </rPr>
      <t>國中菜單為</t>
    </r>
    <r>
      <rPr>
        <sz val="13"/>
        <color theme="1"/>
        <rFont val="Times New Roman"/>
        <family val="1"/>
      </rPr>
      <t>1</t>
    </r>
    <r>
      <rPr>
        <sz val="13"/>
        <color theme="1"/>
        <rFont val="標楷體"/>
        <family val="4"/>
        <charset val="136"/>
      </rPr>
      <t>主食</t>
    </r>
    <r>
      <rPr>
        <sz val="13"/>
        <color theme="1"/>
        <rFont val="Times New Roman"/>
        <family val="1"/>
      </rPr>
      <t>4</t>
    </r>
    <r>
      <rPr>
        <sz val="13"/>
        <color theme="1"/>
        <rFont val="標楷體"/>
        <family val="4"/>
        <charset val="136"/>
      </rPr>
      <t>菜</t>
    </r>
    <r>
      <rPr>
        <sz val="13"/>
        <color theme="1"/>
        <rFont val="Times New Roman"/>
        <family val="1"/>
      </rPr>
      <t>1</t>
    </r>
    <r>
      <rPr>
        <sz val="13"/>
        <color theme="1"/>
        <rFont val="標楷體"/>
        <family val="4"/>
        <charset val="136"/>
      </rPr>
      <t>湯</t>
    </r>
    <r>
      <rPr>
        <sz val="13"/>
        <color theme="1"/>
        <rFont val="Times New Roman"/>
        <family val="1"/>
      </rPr>
      <t>1~2</t>
    </r>
    <r>
      <rPr>
        <sz val="13"/>
        <color theme="1"/>
        <rFont val="標楷體"/>
        <family val="4"/>
        <charset val="136"/>
      </rPr>
      <t>附餐點心。為符合契約規範，每周供應</t>
    </r>
    <r>
      <rPr>
        <sz val="13"/>
        <color theme="1"/>
        <rFont val="Times New Roman"/>
        <family val="1"/>
      </rPr>
      <t>2</t>
    </r>
    <r>
      <rPr>
        <sz val="13"/>
        <color theme="1"/>
        <rFont val="標楷體"/>
        <family val="4"/>
        <charset val="136"/>
      </rPr>
      <t>次本縣有機蔬菜及附餐點心</t>
    </r>
    <r>
      <rPr>
        <sz val="13"/>
        <color theme="1"/>
        <rFont val="Times New Roman"/>
        <family val="1"/>
      </rPr>
      <t>2-</t>
    </r>
    <r>
      <rPr>
        <sz val="13"/>
        <color theme="1"/>
        <rFont val="標楷體"/>
        <family val="4"/>
        <charset val="136"/>
      </rPr>
      <t>本縣有機豆奶</t>
    </r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</si>
  <si>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</si>
  <si>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</si>
  <si>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</si>
  <si>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</si>
  <si>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</si>
  <si>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</si>
  <si>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</si>
  <si>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</si>
  <si>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</si>
  <si>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</si>
  <si>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</si>
  <si>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</si>
  <si>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</si>
  <si>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</si>
  <si>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</si>
  <si>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</si>
  <si>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2</t>
    </r>
  </si>
  <si>
    <r>
      <rPr>
        <sz val="12"/>
        <color rgb="FF000000"/>
        <rFont val="標楷體"/>
        <family val="4"/>
        <charset val="136"/>
      </rPr>
      <t>拌飯特餐</t>
    </r>
  </si>
  <si>
    <r>
      <rPr>
        <sz val="12"/>
        <color rgb="FF000000"/>
        <rFont val="標楷體"/>
        <family val="4"/>
        <charset val="136"/>
      </rPr>
      <t>拌飯配料</t>
    </r>
  </si>
  <si>
    <r>
      <rPr>
        <sz val="12"/>
        <color rgb="FF000000"/>
        <rFont val="標楷體"/>
        <family val="4"/>
        <charset val="136"/>
      </rPr>
      <t>咖哩花椰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</si>
  <si>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</si>
  <si>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</si>
  <si>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</si>
  <si>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</si>
  <si>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</si>
  <si>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</si>
  <si>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</si>
  <si>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鳳梨罐頭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</si>
  <si>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</si>
  <si>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</si>
  <si>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</si>
  <si>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</si>
  <si>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</si>
  <si>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</si>
  <si>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</si>
  <si>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素香鬆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</si>
  <si>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</si>
  <si>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</si>
  <si>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</si>
  <si>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</si>
  <si>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</si>
  <si>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</si>
  <si>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</si>
  <si>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</si>
  <si>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</si>
  <si>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</si>
  <si>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</si>
  <si>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</si>
  <si>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</si>
  <si>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</si>
  <si>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</si>
  <si>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沙茶寬粉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</si>
  <si>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</si>
  <si>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</si>
  <si>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</si>
  <si>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寬粉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</si>
  <si>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</si>
  <si>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</si>
  <si>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</si>
  <si>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</si>
  <si>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</si>
  <si>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南瓜子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</si>
  <si>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</si>
  <si>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</si>
  <si>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</si>
  <si>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</si>
  <si>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</si>
  <si>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</si>
  <si>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</si>
  <si>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</si>
  <si>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</si>
  <si>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</si>
  <si>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</si>
  <si>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</si>
  <si>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</si>
  <si>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</si>
  <si>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</si>
  <si>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</si>
  <si>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</si>
  <si>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</si>
  <si>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</si>
  <si>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</si>
  <si>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</si>
  <si>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</si>
  <si>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香檸素丸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</si>
  <si>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</si>
  <si>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</si>
  <si>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</si>
  <si>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</si>
  <si>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</si>
  <si>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</si>
  <si>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</si>
  <si>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</si>
  <si>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</si>
  <si>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</si>
  <si>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</si>
  <si>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</si>
  <si>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</si>
  <si>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</si>
  <si>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</si>
  <si>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芹香干片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</si>
  <si>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</si>
  <si>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</si>
  <si>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</si>
  <si>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</si>
  <si>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</si>
  <si>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</si>
  <si>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</si>
  <si>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</si>
  <si>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</si>
  <si>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泰式甜辣醬</t>
    </r>
  </si>
  <si>
    <r>
      <rPr>
        <sz val="12"/>
        <color rgb="FF000000"/>
        <rFont val="標楷體"/>
        <family val="4"/>
        <charset val="136"/>
      </rPr>
      <t>鮮燴時蔬</t>
    </r>
  </si>
  <si>
    <r>
      <rPr>
        <sz val="12"/>
        <color rgb="FF000000"/>
        <rFont val="標楷體"/>
        <family val="4"/>
        <charset val="136"/>
      </rPr>
      <t>豆包瓜粒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</si>
  <si>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</si>
  <si>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</si>
  <si>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</si>
  <si>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</si>
  <si>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</si>
  <si>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鐵板油腐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</si>
  <si>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</si>
  <si>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</si>
  <si>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</si>
  <si>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</si>
  <si>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</si>
  <si>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麥仁甜湯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</si>
  <si>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</si>
  <si>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</si>
  <si>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大麥仁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</si>
  <si>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</si>
  <si>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</si>
  <si>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</si>
  <si>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</si>
  <si>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</si>
  <si>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</si>
  <si>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</si>
  <si>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</si>
  <si>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</si>
  <si>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毛豆干丁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</si>
  <si>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</si>
  <si>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</si>
  <si>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生鮮花生仁</t>
    </r>
  </si>
  <si>
    <r>
      <rPr>
        <sz val="12"/>
        <color rgb="FF000000"/>
        <rFont val="標楷體"/>
        <family val="4"/>
        <charset val="136"/>
      </rPr>
      <t>香油</t>
    </r>
  </si>
  <si>
    <r>
      <rPr>
        <sz val="12"/>
        <color rgb="FF000000"/>
        <rFont val="標楷體"/>
        <family val="4"/>
        <charset val="136"/>
      </rPr>
      <t>薑汁油腐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</si>
  <si>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</si>
  <si>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</si>
  <si>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</si>
  <si>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麵筋花椰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</si>
  <si>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</si>
  <si>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潛艇堡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</si>
  <si>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</si>
  <si>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</si>
  <si>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</si>
  <si>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</si>
  <si>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</si>
  <si>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</si>
  <si>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</si>
  <si>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</si>
  <si>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</si>
  <si>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紅豆紫米湯</t>
    </r>
  </si>
  <si>
    <r>
      <rPr>
        <sz val="12"/>
        <color rgb="FF000000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</si>
  <si>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</si>
  <si>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</si>
  <si>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</si>
  <si>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</si>
  <si>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鹹蛋玉菜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</si>
  <si>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</si>
  <si>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</si>
  <si>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鴨鹹蛋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</si>
  <si>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</si>
  <si>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</si>
  <si>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</si>
  <si>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海結凍腐</t>
    </r>
  </si>
  <si>
    <r>
      <rPr>
        <sz val="12"/>
        <color rgb="FF000000"/>
        <rFont val="標楷體"/>
        <family val="4"/>
        <charset val="136"/>
      </rPr>
      <t>素火腿豆芽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</si>
  <si>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</si>
  <si>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</si>
  <si>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</si>
  <si>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</si>
  <si>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</si>
  <si>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</si>
  <si>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</si>
  <si>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</si>
  <si>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</si>
  <si>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</si>
  <si>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</si>
  <si>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</si>
  <si>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</si>
  <si>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</si>
  <si>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</si>
  <si>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</si>
  <si>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</si>
  <si>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</si>
  <si>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</si>
  <si>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</si>
  <si>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</si>
  <si>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</si>
  <si>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</si>
  <si>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</si>
  <si>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</si>
  <si>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</si>
  <si>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</si>
  <si>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</si>
  <si>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</si>
  <si>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</si>
  <si>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</si>
  <si>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</si>
  <si>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</si>
  <si>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</si>
  <si>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</si>
  <si>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</si>
  <si>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</si>
  <si>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</si>
  <si>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</si>
  <si>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</si>
  <si>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</si>
  <si>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</si>
  <si>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</si>
  <si>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</si>
  <si>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</si>
  <si>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</si>
  <si>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</si>
  <si>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</si>
  <si>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</si>
  <si>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</si>
  <si>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</si>
  <si>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</si>
  <si>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</si>
  <si>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</si>
  <si>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</si>
  <si>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</si>
  <si>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</si>
  <si>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</si>
  <si>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</si>
  <si>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</si>
  <si>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</si>
  <si>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</si>
  <si>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</si>
  <si>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</si>
  <si>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</si>
  <si>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</si>
  <si>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</si>
  <si>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</si>
  <si>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國中</t>
    </r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</si>
  <si>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人份計量，營養分析以個人計量，其中肉雞包含</t>
    </r>
    <r>
      <rPr>
        <sz val="12"/>
        <color theme="1"/>
        <rFont val="Times New Roman"/>
        <family val="1"/>
      </rPr>
      <t>23 %</t>
    </r>
    <r>
      <rPr>
        <sz val="12"/>
        <color theme="1"/>
        <rFont val="標楷體"/>
        <family val="4"/>
        <charset val="136"/>
      </rPr>
      <t>骨頭之採購量，每周供應特餐一次，當日得混搭供應）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</si>
  <si>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</si>
  <si>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鳳梨蝦仁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</si>
  <si>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</si>
  <si>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咖哩花椰</t>
    </r>
  </si>
  <si>
    <r>
      <rPr>
        <sz val="12"/>
        <color theme="1"/>
        <rFont val="標楷體"/>
        <family val="4"/>
        <charset val="136"/>
      </rPr>
      <t>蘿蔔魚丸湯</t>
    </r>
  </si>
  <si>
    <r>
      <rPr>
        <sz val="12"/>
        <color theme="1"/>
        <rFont val="標楷體"/>
        <family val="4"/>
        <charset val="136"/>
      </rPr>
      <t>點心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</si>
  <si>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</si>
  <si>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蝦仁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</si>
  <si>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</si>
  <si>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</si>
  <si>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鳳梨罐頭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</si>
  <si>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</si>
  <si>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</si>
  <si>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</si>
  <si>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番茄醬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</si>
  <si>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</si>
  <si>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肉鬆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</si>
  <si>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</si>
  <si>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</si>
  <si>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奶油蒜香雙菇</t>
    </r>
  </si>
  <si>
    <r>
      <rPr>
        <sz val="12"/>
        <color theme="1"/>
        <rFont val="標楷體"/>
        <family val="4"/>
        <charset val="136"/>
      </rPr>
      <t>筍干油腐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</si>
  <si>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</si>
  <si>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</si>
  <si>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</si>
  <si>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</si>
  <si>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</si>
  <si>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</si>
  <si>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</si>
  <si>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</si>
  <si>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</si>
  <si>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</si>
  <si>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黑輪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</si>
  <si>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</si>
  <si>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</si>
  <si>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</si>
  <si>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</si>
  <si>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</si>
  <si>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</si>
  <si>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</si>
  <si>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</si>
  <si>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</si>
  <si>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回鍋肉片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</si>
  <si>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</si>
  <si>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</si>
  <si>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</si>
  <si>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</si>
  <si>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</si>
  <si>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</si>
  <si>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</si>
  <si>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番茄凍腐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</si>
  <si>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</si>
  <si>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</si>
  <si>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</si>
  <si>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</si>
  <si>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青蔥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</si>
  <si>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</si>
  <si>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香檸花枝丸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</si>
  <si>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</si>
  <si>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花枝丸</t>
    </r>
  </si>
  <si>
    <r>
      <rPr>
        <sz val="12"/>
        <color theme="1"/>
        <rFont val="標楷體"/>
        <family val="4"/>
        <charset val="136"/>
      </rPr>
      <t>檸檬椒鹽</t>
    </r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</si>
  <si>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</si>
  <si>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</si>
  <si>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</si>
  <si>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沙茶魷魚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</si>
  <si>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</si>
  <si>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火腿炒蛋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</si>
  <si>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</si>
  <si>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魷魚圈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</si>
  <si>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</si>
  <si>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</si>
  <si>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</si>
  <si>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</si>
  <si>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</si>
  <si>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韮香干片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</si>
  <si>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</si>
  <si>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</si>
  <si>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</si>
  <si>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</si>
  <si>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</si>
  <si>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</si>
  <si>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</si>
  <si>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</si>
  <si>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</si>
  <si>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泰式甜辣醬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</si>
  <si>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</si>
  <si>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</si>
  <si>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</si>
  <si>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豆包瓜粒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</si>
  <si>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</si>
  <si>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</si>
  <si>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</si>
  <si>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</si>
  <si>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</si>
  <si>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香酥魚排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</si>
  <si>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</si>
  <si>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鐵板油腐</t>
    </r>
  </si>
  <si>
    <r>
      <rPr>
        <sz val="12"/>
        <color theme="1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</si>
  <si>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</si>
  <si>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</si>
  <si>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</si>
  <si>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</si>
  <si>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</si>
  <si>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麥仁甜湯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</si>
  <si>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</si>
  <si>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大麥仁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</si>
  <si>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</si>
  <si>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</si>
  <si>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蒜泥肉片</t>
    </r>
  </si>
  <si>
    <r>
      <rPr>
        <sz val="12"/>
        <color theme="1"/>
        <rFont val="標楷體"/>
        <family val="4"/>
        <charset val="136"/>
      </rPr>
      <t>玉米炒蛋</t>
    </r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</si>
  <si>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</si>
  <si>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</si>
  <si>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</si>
  <si>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</si>
  <si>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醃製冬菜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</si>
  <si>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</si>
  <si>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</si>
  <si>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毛豆干丁</t>
    </r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</si>
  <si>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</si>
  <si>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</si>
  <si>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</si>
  <si>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生鮮花生仁</t>
    </r>
  </si>
  <si>
    <r>
      <rPr>
        <sz val="12"/>
        <color theme="1"/>
        <rFont val="標楷體"/>
        <family val="4"/>
        <charset val="136"/>
      </rPr>
      <t>香油</t>
    </r>
  </si>
  <si>
    <r>
      <rPr>
        <sz val="12"/>
        <color theme="1"/>
        <rFont val="標楷體"/>
        <family val="4"/>
        <charset val="136"/>
      </rPr>
      <t>台式蔥油雞</t>
    </r>
  </si>
  <si>
    <r>
      <rPr>
        <sz val="12"/>
        <color theme="1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</si>
  <si>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</si>
  <si>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乾海帶</t>
    </r>
  </si>
  <si>
    <r>
      <t>DIY</t>
    </r>
    <r>
      <rPr>
        <sz val="12"/>
        <color theme="1"/>
        <rFont val="標楷體"/>
        <family val="4"/>
        <charset val="136"/>
      </rPr>
      <t>潛艇堡餐</t>
    </r>
  </si>
  <si>
    <r>
      <rPr>
        <sz val="12"/>
        <color theme="1"/>
        <rFont val="標楷體"/>
        <family val="4"/>
        <charset val="136"/>
      </rPr>
      <t>洋蔥豬柳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</si>
  <si>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</si>
  <si>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蟹味花椰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</si>
  <si>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</si>
  <si>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潛艇堡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</si>
  <si>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</si>
  <si>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</si>
  <si>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冷凍蟹味棒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</si>
  <si>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</si>
  <si>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</si>
  <si>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</si>
  <si>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紅豆紫米湯</t>
    </r>
  </si>
  <si>
    <r>
      <rPr>
        <sz val="12"/>
        <color theme="1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</si>
  <si>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</si>
  <si>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</si>
  <si>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</si>
  <si>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</si>
  <si>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鹹蛋玉菜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</si>
  <si>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</si>
  <si>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</si>
  <si>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鴨鹹蛋</t>
    </r>
  </si>
  <si>
    <r>
      <rPr>
        <sz val="12"/>
        <color theme="1"/>
        <rFont val="標楷體"/>
        <family val="4"/>
        <charset val="136"/>
      </rPr>
      <t>甜玉米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</si>
  <si>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</si>
  <si>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</si>
  <si>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海結凍腐</t>
    </r>
  </si>
  <si>
    <r>
      <rPr>
        <sz val="12"/>
        <color theme="1"/>
        <rFont val="標楷體"/>
        <family val="4"/>
        <charset val="136"/>
      </rPr>
      <t>火腿豆芽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</si>
  <si>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</si>
  <si>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</si>
  <si>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</si>
  <si>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</si>
  <si>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</si>
  <si>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</si>
  <si>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</si>
  <si>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</si>
  <si>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</si>
  <si>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</si>
  <si>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</si>
  <si>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</si>
  <si>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</si>
  <si>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</si>
  <si>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</si>
  <si>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</si>
  <si>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椰漿西米露</t>
    </r>
  </si>
  <si>
    <r>
      <rPr>
        <sz val="12"/>
        <color theme="1"/>
        <rFont val="標楷體"/>
        <family val="4"/>
        <charset val="136"/>
      </rPr>
      <t>西谷米</t>
    </r>
  </si>
  <si>
    <r>
      <rPr>
        <sz val="12"/>
        <color theme="1"/>
        <rFont val="標楷體"/>
        <family val="4"/>
        <charset val="136"/>
      </rPr>
      <t>椰漿</t>
    </r>
  </si>
  <si>
    <r>
      <t xml:space="preserve"> </t>
    </r>
    <r>
      <rPr>
        <sz val="13"/>
        <color theme="1"/>
        <rFont val="標楷體"/>
        <family val="4"/>
        <charset val="136"/>
      </rPr>
      <t>食材明細（食材重量以</t>
    </r>
    <r>
      <rPr>
        <sz val="13"/>
        <color theme="1"/>
        <rFont val="Times New Roman"/>
        <family val="1"/>
      </rPr>
      <t>100</t>
    </r>
    <r>
      <rPr>
        <sz val="13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</si>
  <si>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rgb="FF000000"/>
        <rFont val="標楷體"/>
        <family val="4"/>
        <charset val="136"/>
      </rPr>
      <t>鳳梨毛豆</t>
    </r>
  </si>
  <si>
    <r>
      <rPr>
        <sz val="12"/>
        <color rgb="FF000000"/>
        <rFont val="標楷體"/>
        <family val="4"/>
        <charset val="136"/>
      </rPr>
      <t>打拋干丁</t>
    </r>
  </si>
  <si>
    <r>
      <rPr>
        <sz val="12"/>
        <color theme="1"/>
        <rFont val="標楷體"/>
        <family val="4"/>
        <charset val="136"/>
      </rPr>
      <t>素沙茶醬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</si>
  <si>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</si>
  <si>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</si>
  <si>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</si>
  <si>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</si>
  <si>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素肉片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</si>
  <si>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</si>
  <si>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</si>
  <si>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</si>
  <si>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</si>
  <si>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素羊肉</t>
    </r>
  </si>
  <si>
    <r>
      <t>DIY</t>
    </r>
    <r>
      <rPr>
        <sz val="12"/>
        <color rgb="FF000000"/>
        <rFont val="標楷體"/>
        <family val="4"/>
        <charset val="136"/>
      </rPr>
      <t>潛艇堡餐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</si>
  <si>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</si>
  <si>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</si>
  <si>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</si>
  <si>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</si>
  <si>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</si>
  <si>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</si>
  <si>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</si>
  <si>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</si>
  <si>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</si>
  <si>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</si>
  <si>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</si>
  <si>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</si>
  <si>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</si>
  <si>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鴻喜菇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</si>
  <si>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</si>
  <si>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</si>
  <si>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</si>
  <si>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鮮菇豆腐</t>
    </r>
  </si>
  <si>
    <t>E5</t>
    <phoneticPr fontId="26" type="noConversion"/>
  </si>
  <si>
    <t>紫米飯</t>
    <phoneticPr fontId="26" type="noConversion"/>
  </si>
  <si>
    <t>花枝排</t>
    <phoneticPr fontId="26" type="noConversion"/>
  </si>
  <si>
    <t>炸花枝排</t>
    <phoneticPr fontId="26" type="noConversion"/>
  </si>
  <si>
    <t>魚干時瓜</t>
    <phoneticPr fontId="26" type="noConversion"/>
  </si>
  <si>
    <t>時瓜</t>
    <phoneticPr fontId="26" type="noConversion"/>
  </si>
  <si>
    <t>小魚干</t>
    <phoneticPr fontId="26" type="noConversion"/>
  </si>
  <si>
    <r>
      <rPr>
        <sz val="12"/>
        <color rgb="FF000000"/>
        <rFont val="標楷體"/>
        <family val="4"/>
        <charset val="136"/>
      </rPr>
      <t>香炸豆包</t>
    </r>
    <phoneticPr fontId="26" type="noConversion"/>
  </si>
  <si>
    <r>
      <rPr>
        <sz val="12"/>
        <color rgb="FF000000"/>
        <rFont val="標楷體"/>
        <family val="4"/>
        <charset val="136"/>
      </rPr>
      <t>豆包</t>
    </r>
    <phoneticPr fontId="26" type="noConversion"/>
  </si>
  <si>
    <t>鮮燴時瓜</t>
    <phoneticPr fontId="26" type="noConversion"/>
  </si>
  <si>
    <t>枸杞</t>
    <phoneticPr fontId="26" type="noConversion"/>
  </si>
  <si>
    <t>時蔬</t>
    <phoneticPr fontId="26" type="noConversion"/>
  </si>
  <si>
    <t>時蔬大骨湯</t>
    <phoneticPr fontId="26" type="noConversion"/>
  </si>
  <si>
    <t>時瓜湯</t>
    <phoneticPr fontId="26" type="noConversion"/>
  </si>
  <si>
    <t>胡蘿蔔</t>
    <phoneticPr fontId="26" type="noConversion"/>
  </si>
  <si>
    <t>時蔬湯</t>
    <phoneticPr fontId="26" type="noConversion"/>
  </si>
  <si>
    <t>回鍋若片</t>
    <phoneticPr fontId="26" type="noConversion"/>
  </si>
  <si>
    <t>素肉片</t>
    <phoneticPr fontId="26" type="noConversion"/>
  </si>
  <si>
    <t>四神湯</t>
    <phoneticPr fontId="26" type="noConversion"/>
  </si>
  <si>
    <t>四神</t>
    <phoneticPr fontId="26" type="noConversion"/>
  </si>
  <si>
    <t>白蘿蔔</t>
    <phoneticPr fontId="26" type="noConversion"/>
  </si>
  <si>
    <r>
      <rPr>
        <sz val="12"/>
        <rFont val="標楷體"/>
        <family val="4"/>
        <charset val="136"/>
      </rPr>
      <t>百頁豆腐</t>
    </r>
  </si>
  <si>
    <t>蘿蔔素丸湯</t>
    <phoneticPr fontId="26" type="noConversion"/>
  </si>
  <si>
    <t>絞若冬瓜</t>
    <phoneticPr fontId="26" type="noConversion"/>
  </si>
  <si>
    <t>芹香素熱狗</t>
    <phoneticPr fontId="26" type="noConversion"/>
  </si>
  <si>
    <t>米粉</t>
    <phoneticPr fontId="26" type="noConversion"/>
  </si>
  <si>
    <t>越式特餐</t>
    <phoneticPr fontId="26" type="noConversion"/>
  </si>
  <si>
    <t>特餐配料</t>
    <phoneticPr fontId="26" type="noConversion"/>
  </si>
  <si>
    <t>越式湯底</t>
  </si>
  <si>
    <t>越式湯底</t>
    <phoneticPr fontId="26" type="noConversion"/>
  </si>
  <si>
    <t>蔬香冬粉</t>
    <phoneticPr fontId="26" type="noConversion"/>
  </si>
  <si>
    <t>素火腿炒蛋</t>
    <phoneticPr fontId="26" type="noConversion"/>
  </si>
  <si>
    <t>京醬豆包</t>
    <phoneticPr fontId="26" type="noConversion"/>
  </si>
  <si>
    <t>豆包</t>
    <phoneticPr fontId="26" type="noConversion"/>
  </si>
  <si>
    <t>公斤</t>
    <phoneticPr fontId="26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</si>
  <si>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</si>
  <si>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</si>
  <si>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</si>
  <si>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</si>
  <si>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</si>
  <si>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</si>
  <si>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</si>
  <si>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6" type="noConversion"/>
  </si>
  <si>
    <t>副菜一明細</t>
    <phoneticPr fontId="26" type="noConversion"/>
  </si>
  <si>
    <t>副菜二明細</t>
    <phoneticPr fontId="26" type="noConversion"/>
  </si>
  <si>
    <t>蔬菜明細</t>
    <phoneticPr fontId="26" type="noConversion"/>
  </si>
  <si>
    <t>湯品明細</t>
    <phoneticPr fontId="26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</si>
  <si>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</si>
  <si>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</si>
  <si>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</si>
  <si>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</si>
  <si>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</si>
  <si>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</si>
  <si>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</si>
  <si>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</si>
  <si>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</si>
  <si>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</si>
  <si>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</si>
  <si>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因應中秋節連假，9/23補課一日。</t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</si>
  <si>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6" type="noConversion"/>
  </si>
  <si>
    <t>一</t>
    <phoneticPr fontId="26" type="noConversion"/>
  </si>
  <si>
    <t>二</t>
    <phoneticPr fontId="26" type="noConversion"/>
  </si>
  <si>
    <t>三</t>
    <phoneticPr fontId="26" type="noConversion"/>
  </si>
  <si>
    <t>四</t>
    <phoneticPr fontId="26" type="noConversion"/>
  </si>
  <si>
    <t>國中營養成分</t>
    <phoneticPr fontId="26" type="noConversion"/>
  </si>
  <si>
    <t>112學年</t>
  </si>
  <si>
    <t>上學期</t>
  </si>
  <si>
    <t>葷食</t>
  </si>
  <si>
    <t>日期</t>
    <phoneticPr fontId="26" type="noConversion"/>
  </si>
  <si>
    <t>循環</t>
  </si>
  <si>
    <t>附餐點心1</t>
  </si>
  <si>
    <t>附餐點心2</t>
  </si>
  <si>
    <t>薑</t>
    <phoneticPr fontId="26" type="noConversion"/>
  </si>
  <si>
    <t>國中</t>
    <phoneticPr fontId="26" type="noConversion"/>
  </si>
  <si>
    <r>
      <rPr>
        <sz val="12"/>
        <color theme="0"/>
        <rFont val="標楷體"/>
        <family val="4"/>
        <charset val="136"/>
      </rPr>
      <t>國小</t>
    </r>
  </si>
  <si>
    <t>醬瓜豆干</t>
    <phoneticPr fontId="26" type="noConversion"/>
  </si>
  <si>
    <t>筍干肉角</t>
    <phoneticPr fontId="26" type="noConversion"/>
  </si>
  <si>
    <t>五</t>
    <phoneticPr fontId="26" type="noConversion"/>
  </si>
  <si>
    <t>本公司使用國產豬肉</t>
    <phoneticPr fontId="26" type="noConversion"/>
  </si>
  <si>
    <t>每日附餐點心1預計提供：水果、果汁、餐包、堅果、海苔、小饅頭餅乾、豆漿等品項輪流供應。</t>
    <phoneticPr fontId="26" type="noConversion"/>
  </si>
  <si>
    <t>香又香</t>
    <phoneticPr fontId="26" type="noConversion"/>
  </si>
  <si>
    <t>非偏鄉</t>
    <phoneticPr fontId="26" type="noConversion"/>
  </si>
  <si>
    <t xml:space="preserve">112學年 </t>
  </si>
  <si>
    <t>素食</t>
    <phoneticPr fontId="26" type="noConversion"/>
  </si>
  <si>
    <t>上學期</t>
    <phoneticPr fontId="26" type="noConversion"/>
  </si>
  <si>
    <t>六</t>
    <phoneticPr fontId="26" type="noConversion"/>
  </si>
  <si>
    <t>本菜單供應學校為花崗國中、新城國中。</t>
    <phoneticPr fontId="26" type="noConversion"/>
  </si>
  <si>
    <t>過敏警語:「本月產品含有甲殼類、蛋、芝麻、含麩之穀物、花生、大豆、魚類、亞硫酸鹽類及其相關製品，不適合其過敏體質者食用」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</si>
</sst>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m/d;@"/>
    <numFmt numFmtId="178" formatCode="0.0_ 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0"/>
      <name val="Times New Roman"/>
      <family val="1"/>
    </font>
    <font>
      <sz val="12"/>
      <color theme="0"/>
      <name val="標楷體"/>
      <family val="4"/>
      <charset val="136"/>
    </font>
    <font>
      <sz val="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1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8" fillId="0" borderId="5"/>
    <xf numFmtId="0" fontId="28" fillId="0" borderId="5"/>
  </cellStyleXfs>
  <cellXfs count="3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3" fillId="3" borderId="36" xfId="0" applyFont="1" applyFill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center" vertical="center" shrinkToFit="1"/>
    </xf>
    <xf numFmtId="176" fontId="17" fillId="0" borderId="17" xfId="0" applyNumberFormat="1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6" fontId="17" fillId="0" borderId="28" xfId="0" applyNumberFormat="1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176" fontId="17" fillId="0" borderId="33" xfId="0" applyNumberFormat="1" applyFont="1" applyBorder="1" applyAlignment="1">
      <alignment horizontal="center" vertical="center" shrinkToFit="1"/>
    </xf>
    <xf numFmtId="176" fontId="17" fillId="0" borderId="34" xfId="0" applyNumberFormat="1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17" fillId="0" borderId="48" xfId="0" applyFont="1" applyBorder="1" applyAlignment="1">
      <alignment horizontal="center" vertical="center" shrinkToFit="1"/>
    </xf>
    <xf numFmtId="176" fontId="17" fillId="0" borderId="49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2" borderId="5" xfId="0" applyFont="1" applyFill="1" applyBorder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/>
    </xf>
    <xf numFmtId="176" fontId="17" fillId="0" borderId="60" xfId="0" applyNumberFormat="1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/>
    </xf>
    <xf numFmtId="176" fontId="17" fillId="0" borderId="69" xfId="0" applyNumberFormat="1" applyFont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7" fillId="0" borderId="74" xfId="0" applyNumberFormat="1" applyFont="1" applyBorder="1" applyAlignment="1">
      <alignment horizontal="center" vertical="center" shrinkToFit="1"/>
    </xf>
    <xf numFmtId="176" fontId="17" fillId="0" borderId="72" xfId="0" applyNumberFormat="1" applyFont="1" applyBorder="1" applyAlignment="1">
      <alignment horizontal="center" vertical="center" shrinkToFit="1"/>
    </xf>
    <xf numFmtId="176" fontId="17" fillId="0" borderId="73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176" fontId="18" fillId="0" borderId="76" xfId="0" applyNumberFormat="1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6" fontId="17" fillId="0" borderId="78" xfId="0" applyNumberFormat="1" applyFont="1" applyBorder="1" applyAlignment="1">
      <alignment horizontal="center" vertical="center" shrinkToFit="1"/>
    </xf>
    <xf numFmtId="176" fontId="18" fillId="0" borderId="78" xfId="0" applyNumberFormat="1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85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87" xfId="0" applyFont="1" applyBorder="1" applyAlignment="1">
      <alignment horizontal="center" vertical="center" shrinkToFit="1"/>
    </xf>
    <xf numFmtId="0" fontId="27" fillId="0" borderId="8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30" fillId="0" borderId="47" xfId="0" applyFont="1" applyBorder="1" applyAlignment="1">
      <alignment horizontal="center" vertical="center" shrinkToFit="1"/>
    </xf>
    <xf numFmtId="0" fontId="5" fillId="5" borderId="5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76" fontId="22" fillId="0" borderId="61" xfId="0" applyNumberFormat="1" applyFont="1" applyBorder="1" applyAlignment="1">
      <alignment horizontal="center" vertical="center" shrinkToFit="1"/>
    </xf>
    <xf numFmtId="176" fontId="22" fillId="0" borderId="62" xfId="0" applyNumberFormat="1" applyFont="1" applyBorder="1" applyAlignment="1">
      <alignment horizontal="center" vertical="center" shrinkToFit="1"/>
    </xf>
    <xf numFmtId="176" fontId="22" fillId="0" borderId="63" xfId="0" applyNumberFormat="1" applyFont="1" applyBorder="1" applyAlignment="1">
      <alignment horizontal="center" vertical="center" shrinkToFit="1"/>
    </xf>
    <xf numFmtId="177" fontId="19" fillId="0" borderId="9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shrinkToFit="1"/>
    </xf>
    <xf numFmtId="177" fontId="19" fillId="0" borderId="97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shrinkToFit="1"/>
    </xf>
    <xf numFmtId="177" fontId="19" fillId="0" borderId="98" xfId="0" applyNumberFormat="1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 shrinkToFit="1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 shrinkToFit="1"/>
    </xf>
    <xf numFmtId="177" fontId="19" fillId="0" borderId="99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9" fillId="0" borderId="5" xfId="1" applyFont="1"/>
    <xf numFmtId="0" fontId="19" fillId="0" borderId="5" xfId="2" applyFont="1"/>
    <xf numFmtId="0" fontId="19" fillId="0" borderId="55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69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19" fillId="0" borderId="5" xfId="2" applyFont="1" applyAlignment="1">
      <alignment horizontal="center"/>
    </xf>
    <xf numFmtId="0" fontId="32" fillId="0" borderId="5" xfId="2" applyFont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shrinkToFit="1"/>
    </xf>
    <xf numFmtId="177" fontId="19" fillId="0" borderId="107" xfId="0" applyNumberFormat="1" applyFont="1" applyBorder="1" applyAlignment="1">
      <alignment horizontal="center" vertical="center"/>
    </xf>
    <xf numFmtId="0" fontId="19" fillId="0" borderId="108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 shrinkToFit="1"/>
    </xf>
    <xf numFmtId="177" fontId="19" fillId="0" borderId="95" xfId="0" applyNumberFormat="1" applyFont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177" fontId="19" fillId="0" borderId="68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176" fontId="34" fillId="0" borderId="60" xfId="0" applyNumberFormat="1" applyFont="1" applyBorder="1" applyAlignment="1">
      <alignment horizontal="center" vertical="center" shrinkToFit="1"/>
    </xf>
    <xf numFmtId="176" fontId="34" fillId="0" borderId="74" xfId="0" applyNumberFormat="1" applyFont="1" applyBorder="1" applyAlignment="1">
      <alignment horizontal="center" vertical="center" shrinkToFit="1"/>
    </xf>
    <xf numFmtId="176" fontId="34" fillId="0" borderId="15" xfId="0" applyNumberFormat="1" applyFont="1" applyBorder="1" applyAlignment="1">
      <alignment horizontal="center" vertical="center" shrinkToFit="1"/>
    </xf>
    <xf numFmtId="176" fontId="34" fillId="0" borderId="16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5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25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6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60" xfId="0" applyFont="1" applyBorder="1" applyAlignment="1">
      <alignment vertical="center" shrinkToFit="1"/>
    </xf>
    <xf numFmtId="0" fontId="18" fillId="0" borderId="67" xfId="0" applyFont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8" fillId="0" borderId="70" xfId="0" applyFont="1" applyBorder="1" applyAlignment="1">
      <alignment horizontal="center" vertical="center" shrinkToFit="1"/>
    </xf>
    <xf numFmtId="0" fontId="27" fillId="0" borderId="64" xfId="0" applyFont="1" applyBorder="1" applyAlignment="1">
      <alignment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4" xfId="0" applyFont="1" applyBorder="1" applyAlignment="1">
      <alignment vertical="center" shrinkToFit="1"/>
    </xf>
    <xf numFmtId="0" fontId="18" fillId="0" borderId="65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34" fillId="0" borderId="79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27" fillId="0" borderId="46" xfId="0" applyFont="1" applyBorder="1" applyAlignment="1">
      <alignment vertical="center"/>
    </xf>
    <xf numFmtId="0" fontId="25" fillId="0" borderId="83" xfId="0" applyFont="1" applyBorder="1" applyAlignment="1">
      <alignment horizontal="center" vertical="center" shrinkToFit="1"/>
    </xf>
    <xf numFmtId="0" fontId="25" fillId="0" borderId="84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7" fillId="0" borderId="64" xfId="0" applyFont="1" applyBorder="1" applyAlignment="1">
      <alignment vertical="center"/>
    </xf>
    <xf numFmtId="0" fontId="19" fillId="0" borderId="50" xfId="0" applyFont="1" applyBorder="1" applyAlignment="1">
      <alignment horizontal="center" vertical="center" shrinkToFit="1"/>
    </xf>
    <xf numFmtId="0" fontId="19" fillId="0" borderId="110" xfId="0" applyFont="1" applyBorder="1" applyAlignment="1">
      <alignment horizontal="center" vertical="center" shrinkToFit="1"/>
    </xf>
    <xf numFmtId="0" fontId="19" fillId="0" borderId="11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/>
    </xf>
    <xf numFmtId="176" fontId="19" fillId="0" borderId="50" xfId="0" applyNumberFormat="1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31" fillId="0" borderId="52" xfId="0" applyFont="1" applyBorder="1" applyAlignment="1">
      <alignment horizontal="center" vertical="center" shrinkToFit="1"/>
    </xf>
    <xf numFmtId="0" fontId="27" fillId="0" borderId="44" xfId="0" applyFont="1" applyBorder="1" applyAlignment="1">
      <alignment vertical="center"/>
    </xf>
    <xf numFmtId="0" fontId="25" fillId="0" borderId="86" xfId="0" applyFont="1" applyBorder="1" applyAlignment="1">
      <alignment horizontal="center" vertical="center" shrinkToFit="1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 shrinkToFit="1"/>
    </xf>
    <xf numFmtId="0" fontId="19" fillId="0" borderId="101" xfId="0" applyFont="1" applyBorder="1" applyAlignment="1">
      <alignment horizontal="center" vertical="center" shrinkToFit="1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4" fillId="3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 shrinkToFit="1"/>
    </xf>
    <xf numFmtId="0" fontId="33" fillId="0" borderId="101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/>
    </xf>
    <xf numFmtId="0" fontId="27" fillId="0" borderId="76" xfId="0" applyFont="1" applyBorder="1" applyAlignment="1">
      <alignment vertical="center"/>
    </xf>
    <xf numFmtId="0" fontId="27" fillId="0" borderId="77" xfId="0" applyFont="1" applyBorder="1" applyAlignment="1">
      <alignment vertical="center"/>
    </xf>
    <xf numFmtId="0" fontId="20" fillId="2" borderId="75" xfId="0" applyFont="1" applyFill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27" fillId="0" borderId="78" xfId="0" applyFont="1" applyBorder="1" applyAlignment="1">
      <alignment vertical="center" shrinkToFit="1"/>
    </xf>
    <xf numFmtId="0" fontId="22" fillId="0" borderId="78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27" fillId="0" borderId="64" xfId="0" applyFont="1" applyBorder="1" applyAlignment="1">
      <alignment vertical="center" shrinkToFit="1"/>
    </xf>
    <xf numFmtId="0" fontId="22" fillId="0" borderId="64" xfId="0" applyFont="1" applyBorder="1" applyAlignment="1">
      <alignment horizontal="center" vertical="center" shrinkToFit="1"/>
    </xf>
    <xf numFmtId="0" fontId="25" fillId="0" borderId="64" xfId="0" applyFont="1" applyBorder="1" applyAlignment="1">
      <alignment vertical="center" shrinkToFit="1"/>
    </xf>
    <xf numFmtId="0" fontId="25" fillId="0" borderId="84" xfId="0" applyFont="1" applyBorder="1" applyAlignment="1">
      <alignment horizontal="center" vertical="center" shrinkToFit="1"/>
    </xf>
    <xf numFmtId="0" fontId="4" fillId="2" borderId="83" xfId="0" applyFont="1" applyFill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89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102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shrinkToFit="1"/>
    </xf>
    <xf numFmtId="178" fontId="36" fillId="0" borderId="24" xfId="0" applyNumberFormat="1" applyFont="1" applyBorder="1" applyAlignment="1">
      <alignment horizontal="center" vertical="center"/>
    </xf>
    <xf numFmtId="178" fontId="36" fillId="0" borderId="53" xfId="0" applyNumberFormat="1" applyFont="1" applyBorder="1" applyAlignment="1">
      <alignment horizontal="center" vertical="center"/>
    </xf>
    <xf numFmtId="178" fontId="36" fillId="0" borderId="51" xfId="0" applyNumberFormat="1" applyFont="1" applyBorder="1" applyAlignment="1">
      <alignment horizontal="center" vertical="center"/>
    </xf>
    <xf numFmtId="178" fontId="36" fillId="0" borderId="91" xfId="0" applyNumberFormat="1" applyFont="1" applyBorder="1" applyAlignment="1">
      <alignment horizontal="center" vertical="center"/>
    </xf>
    <xf numFmtId="178" fontId="36" fillId="0" borderId="94" xfId="0" applyNumberFormat="1" applyFont="1" applyBorder="1" applyAlignment="1">
      <alignment horizontal="center" vertical="center"/>
    </xf>
    <xf numFmtId="178" fontId="36" fillId="0" borderId="64" xfId="0" applyNumberFormat="1" applyFont="1" applyBorder="1" applyAlignment="1">
      <alignment horizontal="center" vertical="center"/>
    </xf>
    <xf numFmtId="178" fontId="36" fillId="0" borderId="60" xfId="0" applyNumberFormat="1" applyFont="1" applyBorder="1" applyAlignment="1">
      <alignment horizontal="center" vertical="center"/>
    </xf>
    <xf numFmtId="178" fontId="36" fillId="0" borderId="69" xfId="0" applyNumberFormat="1" applyFont="1" applyBorder="1" applyAlignment="1">
      <alignment horizontal="center" vertical="center"/>
    </xf>
    <xf numFmtId="178" fontId="36" fillId="0" borderId="42" xfId="0" applyNumberFormat="1" applyFont="1" applyBorder="1" applyAlignment="1">
      <alignment horizontal="center" vertical="center"/>
    </xf>
    <xf numFmtId="178" fontId="36" fillId="0" borderId="19" xfId="0" applyNumberFormat="1" applyFont="1" applyBorder="1" applyAlignment="1">
      <alignment horizontal="center" vertical="center"/>
    </xf>
    <xf numFmtId="178" fontId="36" fillId="0" borderId="47" xfId="0" applyNumberFormat="1" applyFont="1" applyBorder="1" applyAlignment="1">
      <alignment horizontal="center" vertical="center"/>
    </xf>
    <xf numFmtId="178" fontId="36" fillId="0" borderId="13" xfId="0" applyNumberFormat="1" applyFont="1" applyBorder="1" applyAlignment="1">
      <alignment horizontal="center" vertical="center"/>
    </xf>
    <xf numFmtId="178" fontId="36" fillId="0" borderId="109" xfId="0" applyNumberFormat="1" applyFont="1" applyBorder="1" applyAlignment="1">
      <alignment horizontal="center" vertical="center"/>
    </xf>
  </cellXfs>
  <cellStyles count="3">
    <cellStyle name="一般" xfId="0" builtinId="0"/>
    <cellStyle name="一般 4" xfId="2"/>
    <cellStyle name="一般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zoomScale="85" zoomScaleNormal="85" workbookViewId="0">
      <pane xSplit="1" topLeftCell="B1" activePane="topRight" state="frozen"/>
      <selection pane="topRight" activeCell="BA47" sqref="BA47"/>
    </sheetView>
  </sheetViews>
  <sheetFormatPr defaultColWidth="11.19921875" defaultRowHeight="15" customHeight="1"/>
  <cols>
    <col min="1" max="1" width="2.69921875" customWidth="1"/>
    <col min="2" max="8" width="3.5" customWidth="1"/>
    <col min="9" max="9" width="4.5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7" width="2.69921875" customWidth="1"/>
    <col min="28" max="29" width="8.19921875" customWidth="1"/>
    <col min="30" max="30" width="3.3984375" hidden="1" customWidth="1"/>
    <col min="31" max="44" width="6.69921875" hidden="1" customWidth="1"/>
    <col min="45" max="51" width="5.3984375" hidden="1" customWidth="1"/>
    <col min="52" max="54" width="11.19921875" customWidth="1"/>
  </cols>
  <sheetData>
    <row r="1" spans="1:51" s="154" customFormat="1" ht="16.8" thickBot="1">
      <c r="A1" s="252" t="s">
        <v>565</v>
      </c>
      <c r="B1" s="253"/>
      <c r="C1" s="253"/>
      <c r="D1" s="253"/>
      <c r="E1" s="253"/>
      <c r="F1" s="253"/>
      <c r="G1" s="253"/>
      <c r="H1" s="253"/>
      <c r="I1" s="253"/>
      <c r="J1" s="257" t="s">
        <v>563</v>
      </c>
      <c r="K1" s="257"/>
      <c r="L1" s="257"/>
      <c r="M1" s="257" t="s">
        <v>549</v>
      </c>
      <c r="N1" s="257"/>
      <c r="O1" s="257"/>
      <c r="P1" s="258" t="s">
        <v>556</v>
      </c>
      <c r="Q1" s="258"/>
      <c r="R1" s="258"/>
      <c r="S1" s="224"/>
      <c r="T1" s="225"/>
      <c r="U1" s="224"/>
      <c r="V1" s="251" t="s">
        <v>564</v>
      </c>
      <c r="W1" s="251"/>
      <c r="X1" s="251"/>
      <c r="Y1" s="251" t="s">
        <v>550</v>
      </c>
      <c r="Z1" s="251"/>
      <c r="AA1" s="251"/>
      <c r="AB1" s="254" t="s">
        <v>0</v>
      </c>
      <c r="AC1" s="254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51" ht="16.2">
      <c r="A2" s="259" t="s">
        <v>277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51" ht="16.8" thickBot="1">
      <c r="A3" s="261" t="s">
        <v>542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49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</row>
    <row r="4" spans="1:51" s="48" customFormat="1" ht="38.25" customHeight="1" thickBot="1">
      <c r="A4" s="95" t="s">
        <v>35</v>
      </c>
      <c r="B4" s="96"/>
      <c r="C4" s="96" t="s">
        <v>36</v>
      </c>
      <c r="D4" s="96" t="s">
        <v>37</v>
      </c>
      <c r="E4" s="96" t="s">
        <v>38</v>
      </c>
      <c r="F4" s="96" t="s">
        <v>39</v>
      </c>
      <c r="G4" s="96" t="s">
        <v>40</v>
      </c>
      <c r="H4" s="96" t="s">
        <v>41</v>
      </c>
      <c r="I4" s="96" t="s">
        <v>42</v>
      </c>
      <c r="J4" s="97" t="s">
        <v>43</v>
      </c>
      <c r="K4" s="97" t="s">
        <v>44</v>
      </c>
      <c r="L4" s="144" t="s">
        <v>517</v>
      </c>
      <c r="M4" s="97" t="s">
        <v>45</v>
      </c>
      <c r="N4" s="97" t="s">
        <v>44</v>
      </c>
      <c r="O4" s="144" t="s">
        <v>517</v>
      </c>
      <c r="P4" s="97" t="s">
        <v>46</v>
      </c>
      <c r="Q4" s="97" t="s">
        <v>44</v>
      </c>
      <c r="R4" s="144" t="s">
        <v>517</v>
      </c>
      <c r="S4" s="97" t="s">
        <v>47</v>
      </c>
      <c r="T4" s="97" t="s">
        <v>44</v>
      </c>
      <c r="U4" s="144" t="s">
        <v>517</v>
      </c>
      <c r="V4" s="97" t="s">
        <v>48</v>
      </c>
      <c r="W4" s="97" t="s">
        <v>44</v>
      </c>
      <c r="X4" s="144" t="s">
        <v>517</v>
      </c>
      <c r="Y4" s="97" t="s">
        <v>49</v>
      </c>
      <c r="Z4" s="97" t="s">
        <v>44</v>
      </c>
      <c r="AA4" s="144" t="s">
        <v>517</v>
      </c>
      <c r="AB4" s="98" t="s">
        <v>224</v>
      </c>
      <c r="AC4" s="99" t="s">
        <v>225</v>
      </c>
      <c r="AD4" s="146"/>
      <c r="AE4" s="146" t="s">
        <v>518</v>
      </c>
      <c r="AF4" s="146"/>
      <c r="AG4" s="146" t="s">
        <v>519</v>
      </c>
      <c r="AH4" s="146"/>
      <c r="AI4" s="146" t="s">
        <v>520</v>
      </c>
      <c r="AJ4" s="146"/>
      <c r="AK4" s="146" t="s">
        <v>521</v>
      </c>
      <c r="AL4" s="146"/>
      <c r="AM4" s="146" t="s">
        <v>522</v>
      </c>
      <c r="AN4" s="146"/>
      <c r="AO4" s="146" t="s">
        <v>523</v>
      </c>
      <c r="AP4" s="146"/>
      <c r="AQ4" s="146"/>
      <c r="AR4" s="51"/>
      <c r="AS4" s="50" t="s">
        <v>530</v>
      </c>
      <c r="AT4" s="50" t="s">
        <v>531</v>
      </c>
      <c r="AU4" s="50" t="s">
        <v>532</v>
      </c>
      <c r="AV4" s="50" t="s">
        <v>533</v>
      </c>
      <c r="AW4" s="50" t="s">
        <v>534</v>
      </c>
      <c r="AX4" s="50" t="s">
        <v>535</v>
      </c>
      <c r="AY4" s="50" t="s">
        <v>536</v>
      </c>
    </row>
    <row r="5" spans="1:51" ht="16.2">
      <c r="A5" s="87" t="s">
        <v>1</v>
      </c>
      <c r="B5" s="88" t="s">
        <v>276</v>
      </c>
      <c r="C5" s="67">
        <f>(K6+K7)/2+Q8/8.5</f>
        <v>5.1764705882352944</v>
      </c>
      <c r="D5" s="67">
        <f>(E5+H5)/2</f>
        <v>2.0659090909090909</v>
      </c>
      <c r="E5" s="67">
        <f>(N8+Q7+Q6+W6+T6+Z7)/10</f>
        <v>2.25</v>
      </c>
      <c r="F5" s="67">
        <v>0</v>
      </c>
      <c r="G5" s="67">
        <f>N7/20.5</f>
        <v>7.3170731707317069E-2</v>
      </c>
      <c r="H5" s="67">
        <f>N6/5+Q10/2+T8/3.5+Z6/5.5</f>
        <v>1.8818181818181818</v>
      </c>
      <c r="I5" s="67">
        <f>C5*70+D5*45+E5*25+H5*75+G5*60+F5*150</f>
        <v>657.09545780618237</v>
      </c>
      <c r="J5" s="245" t="s">
        <v>278</v>
      </c>
      <c r="K5" s="246"/>
      <c r="L5" s="66"/>
      <c r="M5" s="245" t="s">
        <v>279</v>
      </c>
      <c r="N5" s="246"/>
      <c r="O5" s="66"/>
      <c r="P5" s="245" t="s">
        <v>280</v>
      </c>
      <c r="Q5" s="246"/>
      <c r="R5" s="66"/>
      <c r="S5" s="245" t="s">
        <v>281</v>
      </c>
      <c r="T5" s="246"/>
      <c r="U5" s="66"/>
      <c r="V5" s="245" t="s">
        <v>92</v>
      </c>
      <c r="W5" s="246"/>
      <c r="X5" s="89"/>
      <c r="Y5" s="90" t="s">
        <v>282</v>
      </c>
      <c r="Z5" s="90"/>
      <c r="AA5" s="91"/>
      <c r="AB5" s="91" t="s">
        <v>283</v>
      </c>
      <c r="AC5" s="91"/>
      <c r="AD5" s="47" t="str">
        <f>A5</f>
        <v>A3</v>
      </c>
      <c r="AE5" s="47" t="str">
        <f>J5</f>
        <v>拌飯特餐</v>
      </c>
      <c r="AF5" s="47" t="str">
        <f>J6&amp;" "&amp;J7&amp;" "&amp;J8&amp;" "&amp;J9&amp;" "&amp;J10&amp;" "&amp;J11</f>
        <v xml:space="preserve">米     </v>
      </c>
      <c r="AG5" s="47" t="str">
        <f>M5</f>
        <v>鳳梨蝦仁</v>
      </c>
      <c r="AH5" s="47" t="str">
        <f>M6&amp;" "&amp;M7&amp;" "&amp;M8&amp;" "&amp;M9&amp;" "&amp;M10&amp;" "&amp;M11</f>
        <v xml:space="preserve">蝦仁 鳳梨罐頭 洋蔥 番茄醬  </v>
      </c>
      <c r="AI5" s="47" t="str">
        <f>P5</f>
        <v>拌飯配料</v>
      </c>
      <c r="AJ5" s="47" t="str">
        <f>P6&amp;" "&amp;P7&amp;" "&amp;P8&amp;" "&amp;P9&amp;" "&amp;P10&amp;" "&amp;P11</f>
        <v xml:space="preserve">胡蘿蔔 甘藍 冷凍玉米粒 大蒜 肉鬆 </v>
      </c>
      <c r="AK5" s="47" t="str">
        <f>S5</f>
        <v>咖哩花椰</v>
      </c>
      <c r="AL5" s="47" t="str">
        <f>S6&amp;" "&amp;S7&amp;" "&amp;S8&amp;" "&amp;S9&amp;" "&amp;S10&amp;" "&amp;S11</f>
        <v xml:space="preserve">冷凍花椰菜 大蒜 豬後腿肉 咖哩粉  </v>
      </c>
      <c r="AM5" s="47" t="str">
        <f>V5</f>
        <v>時蔬</v>
      </c>
      <c r="AN5" s="47" t="str">
        <f>V6&amp;" "&amp;V7&amp;" "&amp;V8&amp;" "&amp;V9&amp;" "&amp;V10&amp;" "&amp;V11</f>
        <v xml:space="preserve">蔬菜 大蒜    </v>
      </c>
      <c r="AO5" s="47" t="str">
        <f>Y5</f>
        <v>蘿蔔魚丸湯</v>
      </c>
      <c r="AP5" s="47" t="str">
        <f>Y6&amp;" "&amp;Y7&amp;" "&amp;Y8&amp;" "&amp;Y9&amp;" "&amp;Y10&amp;" "&amp;Y11</f>
        <v xml:space="preserve">魚丸 白蘿蔔 薑   </v>
      </c>
      <c r="AQ5" s="47" t="str">
        <f>AB5</f>
        <v>點心</v>
      </c>
      <c r="AR5" s="47">
        <f>AC5</f>
        <v>0</v>
      </c>
      <c r="AS5" s="86">
        <f>C5</f>
        <v>5.1764705882352944</v>
      </c>
      <c r="AT5" s="86">
        <f>H5</f>
        <v>1.8818181818181818</v>
      </c>
      <c r="AU5" s="86">
        <f>E5</f>
        <v>2.25</v>
      </c>
      <c r="AV5" s="86">
        <f>D5</f>
        <v>2.0659090909090909</v>
      </c>
      <c r="AW5" s="86">
        <f>F5</f>
        <v>0</v>
      </c>
      <c r="AX5" s="86">
        <f>G5</f>
        <v>7.3170731707317069E-2</v>
      </c>
      <c r="AY5" s="86">
        <f>I5</f>
        <v>657.09545780618237</v>
      </c>
    </row>
    <row r="6" spans="1:51" ht="16.2">
      <c r="A6" s="57"/>
      <c r="B6" s="58"/>
      <c r="C6" s="59"/>
      <c r="D6" s="59"/>
      <c r="E6" s="59"/>
      <c r="F6" s="59"/>
      <c r="G6" s="59"/>
      <c r="H6" s="59"/>
      <c r="I6" s="60"/>
      <c r="J6" s="61" t="s">
        <v>284</v>
      </c>
      <c r="K6" s="62">
        <v>10</v>
      </c>
      <c r="L6" s="145" t="str">
        <f>IF(K6,"公斤","")</f>
        <v>公斤</v>
      </c>
      <c r="M6" s="62" t="s">
        <v>285</v>
      </c>
      <c r="N6" s="62">
        <v>5</v>
      </c>
      <c r="O6" s="145" t="str">
        <f>IF(N6,"公斤","")</f>
        <v>公斤</v>
      </c>
      <c r="P6" s="62" t="s">
        <v>8</v>
      </c>
      <c r="Q6" s="62">
        <v>0.5</v>
      </c>
      <c r="R6" s="145" t="str">
        <f>IF(Q6,"公斤","")</f>
        <v>公斤</v>
      </c>
      <c r="S6" s="62" t="s">
        <v>113</v>
      </c>
      <c r="T6" s="62">
        <v>7</v>
      </c>
      <c r="U6" s="145" t="str">
        <f>IF(T6,"公斤","")</f>
        <v>公斤</v>
      </c>
      <c r="V6" s="62" t="s">
        <v>223</v>
      </c>
      <c r="W6" s="62">
        <v>7</v>
      </c>
      <c r="X6" s="145" t="str">
        <f>IF(W6,"公斤","")</f>
        <v>公斤</v>
      </c>
      <c r="Y6" s="63" t="s">
        <v>286</v>
      </c>
      <c r="Z6" s="64">
        <v>1</v>
      </c>
      <c r="AA6" s="145" t="str">
        <f>IF(Z6,"公斤","")</f>
        <v>公斤</v>
      </c>
      <c r="AB6" s="62" t="s">
        <v>283</v>
      </c>
      <c r="AC6" s="62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</row>
    <row r="7" spans="1:51" ht="16.2">
      <c r="A7" s="57"/>
      <c r="B7" s="218" t="s">
        <v>557</v>
      </c>
      <c r="C7" s="219">
        <f>C5</f>
        <v>5.1764705882352944</v>
      </c>
      <c r="D7" s="219">
        <f>(E7+H7)/2</f>
        <v>1.615909090909091</v>
      </c>
      <c r="E7" s="219">
        <f>E5-T6/10</f>
        <v>1.55</v>
      </c>
      <c r="F7" s="219">
        <f t="shared" ref="F7" si="0">F5</f>
        <v>0</v>
      </c>
      <c r="G7" s="219">
        <f>G5</f>
        <v>7.3170731707317069E-2</v>
      </c>
      <c r="H7" s="220">
        <f>H5-T8/3.5</f>
        <v>1.6818181818181819</v>
      </c>
      <c r="I7" s="221">
        <f>C7*70+D7*45+E7*25+H7*75+G7*60+F7*150</f>
        <v>604.34545780618237</v>
      </c>
      <c r="J7" s="65"/>
      <c r="K7" s="62"/>
      <c r="L7" s="145" t="str">
        <f>IF(K7,"公斤","")</f>
        <v/>
      </c>
      <c r="M7" s="62" t="s">
        <v>288</v>
      </c>
      <c r="N7" s="62">
        <v>1.5</v>
      </c>
      <c r="O7" s="145" t="str">
        <f t="shared" ref="O7:O11" si="1">IF(N7,"公斤","")</f>
        <v>公斤</v>
      </c>
      <c r="P7" s="62" t="s">
        <v>289</v>
      </c>
      <c r="Q7" s="62">
        <v>2</v>
      </c>
      <c r="R7" s="145" t="str">
        <f t="shared" ref="R7:R11" si="2">IF(Q7,"公斤","")</f>
        <v>公斤</v>
      </c>
      <c r="S7" s="62" t="s">
        <v>9</v>
      </c>
      <c r="T7" s="62">
        <v>0.05</v>
      </c>
      <c r="U7" s="145" t="str">
        <f t="shared" ref="U7:U11" si="3">IF(T7,"公斤","")</f>
        <v>公斤</v>
      </c>
      <c r="V7" s="62" t="s">
        <v>9</v>
      </c>
      <c r="W7" s="62">
        <v>0.05</v>
      </c>
      <c r="X7" s="145" t="str">
        <f t="shared" ref="X7:X11" si="4">IF(W7,"公斤","")</f>
        <v>公斤</v>
      </c>
      <c r="Y7" s="63" t="s">
        <v>290</v>
      </c>
      <c r="Z7" s="64">
        <v>3</v>
      </c>
      <c r="AA7" s="145" t="str">
        <f t="shared" ref="AA7:AA11" si="5">IF(Z7,"公斤","")</f>
        <v>公斤</v>
      </c>
      <c r="AB7" s="62"/>
      <c r="AC7" s="62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</row>
    <row r="8" spans="1:51" ht="16.2">
      <c r="A8" s="57"/>
      <c r="B8" s="218"/>
      <c r="C8" s="219"/>
      <c r="D8" s="219"/>
      <c r="E8" s="219"/>
      <c r="F8" s="219"/>
      <c r="G8" s="219"/>
      <c r="H8" s="219"/>
      <c r="I8" s="222"/>
      <c r="J8" s="61"/>
      <c r="K8" s="62"/>
      <c r="L8" s="145" t="str">
        <f t="shared" ref="L8:L11" si="6">IF(K8,"公斤","")</f>
        <v/>
      </c>
      <c r="M8" s="62" t="s">
        <v>7</v>
      </c>
      <c r="N8" s="62">
        <v>3</v>
      </c>
      <c r="O8" s="145" t="str">
        <f t="shared" si="1"/>
        <v>公斤</v>
      </c>
      <c r="P8" s="62" t="s">
        <v>30</v>
      </c>
      <c r="Q8" s="62">
        <v>1.5</v>
      </c>
      <c r="R8" s="145" t="str">
        <f t="shared" si="2"/>
        <v>公斤</v>
      </c>
      <c r="S8" s="62" t="s">
        <v>291</v>
      </c>
      <c r="T8" s="62">
        <v>0.7</v>
      </c>
      <c r="U8" s="145" t="str">
        <f t="shared" si="3"/>
        <v>公斤</v>
      </c>
      <c r="V8" s="62"/>
      <c r="W8" s="68"/>
      <c r="X8" s="145" t="str">
        <f t="shared" si="4"/>
        <v/>
      </c>
      <c r="Y8" s="62" t="s">
        <v>117</v>
      </c>
      <c r="Z8" s="62">
        <v>0.05</v>
      </c>
      <c r="AA8" s="145" t="str">
        <f t="shared" si="5"/>
        <v>公斤</v>
      </c>
      <c r="AB8" s="62"/>
      <c r="AC8" s="62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</row>
    <row r="9" spans="1:51" ht="16.2">
      <c r="A9" s="57"/>
      <c r="B9" s="58"/>
      <c r="C9" s="59"/>
      <c r="D9" s="59"/>
      <c r="E9" s="59"/>
      <c r="F9" s="59"/>
      <c r="G9" s="59"/>
      <c r="H9" s="59"/>
      <c r="I9" s="59"/>
      <c r="J9" s="61"/>
      <c r="K9" s="62"/>
      <c r="L9" s="145" t="str">
        <f t="shared" si="6"/>
        <v/>
      </c>
      <c r="M9" s="62" t="s">
        <v>292</v>
      </c>
      <c r="N9" s="62"/>
      <c r="O9" s="145" t="str">
        <f t="shared" si="1"/>
        <v/>
      </c>
      <c r="P9" s="62" t="s">
        <v>9</v>
      </c>
      <c r="Q9" s="62">
        <v>0.05</v>
      </c>
      <c r="R9" s="145" t="str">
        <f t="shared" si="2"/>
        <v>公斤</v>
      </c>
      <c r="S9" s="62" t="s">
        <v>293</v>
      </c>
      <c r="T9" s="62"/>
      <c r="U9" s="145" t="str">
        <f t="shared" si="3"/>
        <v/>
      </c>
      <c r="V9" s="69"/>
      <c r="W9" s="69"/>
      <c r="X9" s="145" t="str">
        <f t="shared" si="4"/>
        <v/>
      </c>
      <c r="Y9" s="61"/>
      <c r="Z9" s="62"/>
      <c r="AA9" s="145" t="str">
        <f t="shared" si="5"/>
        <v/>
      </c>
      <c r="AB9" s="62"/>
      <c r="AC9" s="62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</row>
    <row r="10" spans="1:51" ht="16.2">
      <c r="A10" s="57"/>
      <c r="B10" s="58"/>
      <c r="C10" s="59"/>
      <c r="D10" s="59"/>
      <c r="E10" s="59"/>
      <c r="F10" s="59"/>
      <c r="G10" s="59"/>
      <c r="H10" s="59"/>
      <c r="I10" s="59"/>
      <c r="J10" s="61"/>
      <c r="K10" s="62"/>
      <c r="L10" s="145" t="str">
        <f t="shared" si="6"/>
        <v/>
      </c>
      <c r="M10" s="62"/>
      <c r="N10" s="62"/>
      <c r="O10" s="145" t="str">
        <f t="shared" si="1"/>
        <v/>
      </c>
      <c r="P10" s="62" t="s">
        <v>294</v>
      </c>
      <c r="Q10" s="62">
        <v>1</v>
      </c>
      <c r="R10" s="145" t="str">
        <f t="shared" si="2"/>
        <v>公斤</v>
      </c>
      <c r="S10" s="62"/>
      <c r="T10" s="62"/>
      <c r="U10" s="145" t="str">
        <f t="shared" si="3"/>
        <v/>
      </c>
      <c r="V10" s="62"/>
      <c r="W10" s="70"/>
      <c r="X10" s="145" t="str">
        <f t="shared" si="4"/>
        <v/>
      </c>
      <c r="Y10" s="62"/>
      <c r="Z10" s="62"/>
      <c r="AA10" s="145" t="str">
        <f t="shared" si="5"/>
        <v/>
      </c>
      <c r="AB10" s="62"/>
      <c r="AC10" s="62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</row>
    <row r="11" spans="1:51" ht="16.8" thickBot="1">
      <c r="A11" s="71"/>
      <c r="B11" s="72"/>
      <c r="C11" s="73"/>
      <c r="D11" s="73"/>
      <c r="E11" s="73"/>
      <c r="F11" s="73"/>
      <c r="G11" s="73"/>
      <c r="H11" s="73"/>
      <c r="I11" s="73"/>
      <c r="J11" s="74"/>
      <c r="K11" s="75"/>
      <c r="L11" s="145" t="str">
        <f t="shared" si="6"/>
        <v/>
      </c>
      <c r="M11" s="75"/>
      <c r="N11" s="75"/>
      <c r="O11" s="145" t="str">
        <f t="shared" si="1"/>
        <v/>
      </c>
      <c r="P11" s="75"/>
      <c r="Q11" s="75"/>
      <c r="R11" s="145" t="str">
        <f t="shared" si="2"/>
        <v/>
      </c>
      <c r="S11" s="75"/>
      <c r="T11" s="75"/>
      <c r="U11" s="145" t="str">
        <f t="shared" si="3"/>
        <v/>
      </c>
      <c r="V11" s="75"/>
      <c r="W11" s="75"/>
      <c r="X11" s="145" t="str">
        <f t="shared" si="4"/>
        <v/>
      </c>
      <c r="Y11" s="75"/>
      <c r="Z11" s="75"/>
      <c r="AA11" s="145" t="str">
        <f t="shared" si="5"/>
        <v/>
      </c>
      <c r="AB11" s="75"/>
      <c r="AC11" s="75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</row>
    <row r="12" spans="1:51" ht="16.2">
      <c r="A12" s="52" t="s">
        <v>2</v>
      </c>
      <c r="B12" s="53" t="s">
        <v>276</v>
      </c>
      <c r="C12" s="54">
        <f>K13/2+K14/2+Z13/2.5</f>
        <v>5.8</v>
      </c>
      <c r="D12" s="54">
        <f>(E12+H12)/2</f>
        <v>2.1122727272727273</v>
      </c>
      <c r="E12" s="54">
        <f>(N14+N15+N16+N17+Q13+Q14+Q15+T14+T15+W13)/10</f>
        <v>1.97</v>
      </c>
      <c r="F12" s="54">
        <v>0</v>
      </c>
      <c r="G12" s="54">
        <v>0</v>
      </c>
      <c r="H12" s="54">
        <f>N13/3.5+Q16/3.5+T13/55</f>
        <v>2.2545454545454544</v>
      </c>
      <c r="I12" s="54">
        <f>C12*70+D12*45+E12*25+H12*75+G12*60+F12*150</f>
        <v>719.39318181818192</v>
      </c>
      <c r="J12" s="77" t="s">
        <v>295</v>
      </c>
      <c r="K12" s="56"/>
      <c r="L12" s="66"/>
      <c r="M12" s="77" t="s">
        <v>296</v>
      </c>
      <c r="N12" s="56"/>
      <c r="O12" s="66"/>
      <c r="P12" s="77" t="s">
        <v>297</v>
      </c>
      <c r="Q12" s="56"/>
      <c r="R12" s="66"/>
      <c r="S12" s="55" t="s">
        <v>298</v>
      </c>
      <c r="T12" s="56"/>
      <c r="U12" s="66"/>
      <c r="V12" s="77" t="s">
        <v>92</v>
      </c>
      <c r="W12" s="78"/>
      <c r="X12" s="89"/>
      <c r="Y12" s="77" t="s">
        <v>299</v>
      </c>
      <c r="Z12" s="56"/>
      <c r="AA12" s="91"/>
      <c r="AB12" s="79" t="s">
        <v>283</v>
      </c>
      <c r="AC12" s="80"/>
      <c r="AD12" s="51" t="str">
        <f>A12</f>
        <v>A4</v>
      </c>
      <c r="AE12" s="47" t="str">
        <f>J12</f>
        <v>糙米飯</v>
      </c>
      <c r="AF12" s="47" t="str">
        <f>J13&amp;" "&amp;J14&amp;" "&amp;J15&amp;" "&amp;J16&amp;" "&amp;J17&amp;" "&amp;J18</f>
        <v xml:space="preserve">米 糙米    </v>
      </c>
      <c r="AG12" s="47" t="str">
        <f>M12</f>
        <v>打拋豬</v>
      </c>
      <c r="AH12" s="47" t="str">
        <f>M13&amp;" "&amp;M14&amp;" "&amp;M15&amp;" "&amp;M16&amp;" "&amp;M17&amp;" "&amp;M18</f>
        <v xml:space="preserve">豬絞肉 刈薯 九層塔 洋蔥 大番茄 </v>
      </c>
      <c r="AI12" s="47" t="str">
        <f>P12</f>
        <v>奶油蒜香雙菇</v>
      </c>
      <c r="AJ12" s="47" t="str">
        <f>P13&amp;" "&amp;P14&amp;" "&amp;P15&amp;" "&amp;P16&amp;" "&amp;P17&amp;" "&amp;P18</f>
        <v xml:space="preserve">秀珍菇 鴻喜菇 甜椒(紅皮) 豬後腿肉 奶油(固態) </v>
      </c>
      <c r="AK12" s="47" t="str">
        <f>S12</f>
        <v>筍干油腐</v>
      </c>
      <c r="AL12" s="47" t="str">
        <f>S13&amp;" "&amp;S14&amp;" "&amp;S15&amp;" "&amp;S16&amp;" "&amp;S17&amp;" "&amp;S18</f>
        <v xml:space="preserve">四角油豆腐 麻竹筍干 胡蘿蔔 大蒜  </v>
      </c>
      <c r="AM12" s="47" t="str">
        <f>V12</f>
        <v>時蔬</v>
      </c>
      <c r="AN12" s="47" t="str">
        <f>V13&amp;" "&amp;V14&amp;" "&amp;V15&amp;" "&amp;V16&amp;" "&amp;V17&amp;" "&amp;V18</f>
        <v xml:space="preserve">蔬菜 大蒜    </v>
      </c>
      <c r="AO12" s="47" t="str">
        <f>Y12</f>
        <v>綠豆湯</v>
      </c>
      <c r="AP12" s="47" t="str">
        <f>Y13&amp;" "&amp;Y14&amp;" "&amp;Y15&amp;" "&amp;Y16&amp;" "&amp;Y17&amp;" "&amp;Y18</f>
        <v xml:space="preserve">綠豆 紅砂糖    </v>
      </c>
      <c r="AQ12" s="51" t="str">
        <f>AB12</f>
        <v>點心</v>
      </c>
      <c r="AR12" s="51">
        <f>AC12</f>
        <v>0</v>
      </c>
      <c r="AS12" s="86">
        <f t="shared" ref="AS12" si="7">C12</f>
        <v>5.8</v>
      </c>
      <c r="AT12" s="86">
        <f t="shared" ref="AT12" si="8">H12</f>
        <v>2.2545454545454544</v>
      </c>
      <c r="AU12" s="86">
        <f t="shared" ref="AU12" si="9">E12</f>
        <v>1.97</v>
      </c>
      <c r="AV12" s="86">
        <f t="shared" ref="AV12" si="10">D12</f>
        <v>2.1122727272727273</v>
      </c>
      <c r="AW12" s="86">
        <f t="shared" ref="AW12" si="11">F12</f>
        <v>0</v>
      </c>
      <c r="AX12" s="86">
        <f t="shared" ref="AX12" si="12">G12</f>
        <v>0</v>
      </c>
      <c r="AY12" s="86">
        <f t="shared" ref="AY12" si="13">I12</f>
        <v>719.39318181818192</v>
      </c>
    </row>
    <row r="13" spans="1:51" ht="16.2">
      <c r="A13" s="57"/>
      <c r="B13" s="58"/>
      <c r="C13" s="59"/>
      <c r="D13" s="59"/>
      <c r="E13" s="59"/>
      <c r="F13" s="59"/>
      <c r="G13" s="59"/>
      <c r="H13" s="59"/>
      <c r="I13" s="60"/>
      <c r="J13" s="61" t="s">
        <v>284</v>
      </c>
      <c r="K13" s="62">
        <v>7</v>
      </c>
      <c r="L13" s="145" t="str">
        <f t="shared" ref="L13:L74" si="14">IF(K13,"公斤","")</f>
        <v>公斤</v>
      </c>
      <c r="M13" s="62" t="s">
        <v>300</v>
      </c>
      <c r="N13" s="62">
        <v>6</v>
      </c>
      <c r="O13" s="145" t="str">
        <f t="shared" ref="O13:O74" si="15">IF(N13,"公斤","")</f>
        <v>公斤</v>
      </c>
      <c r="P13" s="62" t="s">
        <v>301</v>
      </c>
      <c r="Q13" s="62">
        <v>2</v>
      </c>
      <c r="R13" s="145" t="str">
        <f t="shared" ref="R13:R74" si="16">IF(Q13,"公斤","")</f>
        <v>公斤</v>
      </c>
      <c r="S13" s="64" t="s">
        <v>74</v>
      </c>
      <c r="T13" s="64">
        <v>3</v>
      </c>
      <c r="U13" s="145" t="str">
        <f t="shared" ref="U13:U74" si="17">IF(T13,"公斤","")</f>
        <v>公斤</v>
      </c>
      <c r="V13" s="62" t="s">
        <v>223</v>
      </c>
      <c r="W13" s="62">
        <v>7</v>
      </c>
      <c r="X13" s="145" t="str">
        <f t="shared" ref="X13:X74" si="18">IF(W13,"公斤","")</f>
        <v>公斤</v>
      </c>
      <c r="Y13" s="62" t="s">
        <v>302</v>
      </c>
      <c r="Z13" s="62">
        <v>2</v>
      </c>
      <c r="AA13" s="145" t="str">
        <f t="shared" ref="AA13:AA74" si="19">IF(Z13,"公斤","")</f>
        <v>公斤</v>
      </c>
      <c r="AB13" s="62" t="s">
        <v>283</v>
      </c>
      <c r="AC13" s="62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</row>
    <row r="14" spans="1:51" ht="16.2">
      <c r="A14" s="57"/>
      <c r="B14" s="218" t="s">
        <v>557</v>
      </c>
      <c r="C14" s="219">
        <f>C12</f>
        <v>5.8</v>
      </c>
      <c r="D14" s="219">
        <f>(E14+H14)/2</f>
        <v>1.7145454545454544</v>
      </c>
      <c r="E14" s="219">
        <f>E12-(T14+T15)/10</f>
        <v>1.72</v>
      </c>
      <c r="F14" s="219">
        <f t="shared" ref="F14:G14" si="20">F12</f>
        <v>0</v>
      </c>
      <c r="G14" s="219">
        <f t="shared" si="20"/>
        <v>0</v>
      </c>
      <c r="H14" s="220">
        <f>H12-T13/5.5</f>
        <v>1.709090909090909</v>
      </c>
      <c r="I14" s="221">
        <f>C14*70+D14*45+E14*25+H14*75+G14*60+F14*150</f>
        <v>654.33636363636356</v>
      </c>
      <c r="J14" s="61" t="s">
        <v>287</v>
      </c>
      <c r="K14" s="62">
        <v>3</v>
      </c>
      <c r="L14" s="145" t="str">
        <f t="shared" si="14"/>
        <v>公斤</v>
      </c>
      <c r="M14" s="62" t="s">
        <v>27</v>
      </c>
      <c r="N14" s="62">
        <v>3</v>
      </c>
      <c r="O14" s="145" t="str">
        <f t="shared" si="15"/>
        <v>公斤</v>
      </c>
      <c r="P14" s="62" t="s">
        <v>303</v>
      </c>
      <c r="Q14" s="62">
        <v>2</v>
      </c>
      <c r="R14" s="145" t="str">
        <f t="shared" si="16"/>
        <v>公斤</v>
      </c>
      <c r="S14" s="64" t="s">
        <v>304</v>
      </c>
      <c r="T14" s="64">
        <v>2</v>
      </c>
      <c r="U14" s="145" t="str">
        <f t="shared" si="17"/>
        <v>公斤</v>
      </c>
      <c r="V14" s="62" t="s">
        <v>9</v>
      </c>
      <c r="W14" s="62">
        <v>0.05</v>
      </c>
      <c r="X14" s="145" t="str">
        <f t="shared" si="18"/>
        <v>公斤</v>
      </c>
      <c r="Y14" s="62" t="s">
        <v>77</v>
      </c>
      <c r="Z14" s="62">
        <v>1</v>
      </c>
      <c r="AA14" s="145" t="str">
        <f t="shared" si="19"/>
        <v>公斤</v>
      </c>
      <c r="AB14" s="62"/>
      <c r="AC14" s="62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</row>
    <row r="15" spans="1:51" ht="16.2">
      <c r="A15" s="57"/>
      <c r="B15" s="218"/>
      <c r="C15" s="219"/>
      <c r="D15" s="219"/>
      <c r="E15" s="219"/>
      <c r="F15" s="219"/>
      <c r="G15" s="219"/>
      <c r="H15" s="219"/>
      <c r="I15" s="222"/>
      <c r="J15" s="61"/>
      <c r="K15" s="62"/>
      <c r="L15" s="145" t="str">
        <f t="shared" si="14"/>
        <v/>
      </c>
      <c r="M15" s="62" t="s">
        <v>140</v>
      </c>
      <c r="N15" s="62">
        <v>0.2</v>
      </c>
      <c r="O15" s="145" t="str">
        <f t="shared" si="15"/>
        <v>公斤</v>
      </c>
      <c r="P15" s="62" t="s">
        <v>211</v>
      </c>
      <c r="Q15" s="62">
        <v>1</v>
      </c>
      <c r="R15" s="145" t="str">
        <f t="shared" si="16"/>
        <v>公斤</v>
      </c>
      <c r="S15" s="62" t="s">
        <v>8</v>
      </c>
      <c r="T15" s="62">
        <v>0.5</v>
      </c>
      <c r="U15" s="145" t="str">
        <f t="shared" si="17"/>
        <v>公斤</v>
      </c>
      <c r="V15" s="62"/>
      <c r="W15" s="62"/>
      <c r="X15" s="145" t="str">
        <f t="shared" si="18"/>
        <v/>
      </c>
      <c r="Y15" s="62"/>
      <c r="Z15" s="62"/>
      <c r="AA15" s="145" t="str">
        <f t="shared" si="19"/>
        <v/>
      </c>
      <c r="AB15" s="62"/>
      <c r="AC15" s="62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</row>
    <row r="16" spans="1:51" ht="16.2">
      <c r="A16" s="57"/>
      <c r="B16" s="58"/>
      <c r="C16" s="59"/>
      <c r="D16" s="59"/>
      <c r="E16" s="59"/>
      <c r="F16" s="59"/>
      <c r="G16" s="59"/>
      <c r="H16" s="59"/>
      <c r="I16" s="59"/>
      <c r="J16" s="61"/>
      <c r="K16" s="62"/>
      <c r="L16" s="145" t="str">
        <f t="shared" si="14"/>
        <v/>
      </c>
      <c r="M16" s="62" t="s">
        <v>7</v>
      </c>
      <c r="N16" s="62">
        <v>1</v>
      </c>
      <c r="O16" s="145" t="str">
        <f t="shared" si="15"/>
        <v>公斤</v>
      </c>
      <c r="P16" s="62" t="s">
        <v>291</v>
      </c>
      <c r="Q16" s="62">
        <v>1.7</v>
      </c>
      <c r="R16" s="145" t="str">
        <f t="shared" si="16"/>
        <v>公斤</v>
      </c>
      <c r="S16" s="64" t="s">
        <v>9</v>
      </c>
      <c r="T16" s="64">
        <v>0.05</v>
      </c>
      <c r="U16" s="145" t="str">
        <f t="shared" si="17"/>
        <v>公斤</v>
      </c>
      <c r="V16" s="62"/>
      <c r="W16" s="62"/>
      <c r="X16" s="145" t="str">
        <f t="shared" si="18"/>
        <v/>
      </c>
      <c r="Y16" s="62"/>
      <c r="Z16" s="62"/>
      <c r="AA16" s="145" t="str">
        <f t="shared" si="19"/>
        <v/>
      </c>
      <c r="AB16" s="62"/>
      <c r="AC16" s="62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</row>
    <row r="17" spans="1:51" ht="16.2">
      <c r="A17" s="57"/>
      <c r="B17" s="58"/>
      <c r="C17" s="59"/>
      <c r="D17" s="59"/>
      <c r="E17" s="59"/>
      <c r="F17" s="59"/>
      <c r="G17" s="59"/>
      <c r="H17" s="59"/>
      <c r="I17" s="59"/>
      <c r="J17" s="61"/>
      <c r="K17" s="62"/>
      <c r="L17" s="145" t="str">
        <f t="shared" si="14"/>
        <v/>
      </c>
      <c r="M17" s="62" t="s">
        <v>115</v>
      </c>
      <c r="N17" s="62">
        <v>1</v>
      </c>
      <c r="O17" s="145" t="str">
        <f t="shared" si="15"/>
        <v>公斤</v>
      </c>
      <c r="P17" s="62" t="s">
        <v>212</v>
      </c>
      <c r="Q17" s="62">
        <v>0.6</v>
      </c>
      <c r="R17" s="145" t="str">
        <f t="shared" si="16"/>
        <v>公斤</v>
      </c>
      <c r="S17" s="64"/>
      <c r="T17" s="64"/>
      <c r="U17" s="145" t="str">
        <f t="shared" si="17"/>
        <v/>
      </c>
      <c r="V17" s="62"/>
      <c r="W17" s="62"/>
      <c r="X17" s="145" t="str">
        <f t="shared" si="18"/>
        <v/>
      </c>
      <c r="Y17" s="62"/>
      <c r="Z17" s="62"/>
      <c r="AA17" s="145" t="str">
        <f t="shared" si="19"/>
        <v/>
      </c>
      <c r="AB17" s="62"/>
      <c r="AC17" s="62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</row>
    <row r="18" spans="1:51" ht="16.8" thickBot="1">
      <c r="A18" s="71"/>
      <c r="B18" s="72"/>
      <c r="C18" s="73"/>
      <c r="D18" s="73"/>
      <c r="E18" s="73"/>
      <c r="F18" s="73"/>
      <c r="G18" s="73"/>
      <c r="H18" s="73"/>
      <c r="I18" s="73"/>
      <c r="J18" s="74"/>
      <c r="K18" s="75"/>
      <c r="L18" s="145" t="str">
        <f t="shared" si="14"/>
        <v/>
      </c>
      <c r="M18" s="75"/>
      <c r="N18" s="75"/>
      <c r="O18" s="145" t="str">
        <f t="shared" si="15"/>
        <v/>
      </c>
      <c r="P18" s="75"/>
      <c r="Q18" s="75"/>
      <c r="R18" s="145" t="str">
        <f t="shared" si="16"/>
        <v/>
      </c>
      <c r="S18" s="75"/>
      <c r="T18" s="75"/>
      <c r="U18" s="145" t="str">
        <f t="shared" si="17"/>
        <v/>
      </c>
      <c r="V18" s="75"/>
      <c r="W18" s="75"/>
      <c r="X18" s="145" t="str">
        <f t="shared" si="18"/>
        <v/>
      </c>
      <c r="Y18" s="75"/>
      <c r="Z18" s="75"/>
      <c r="AA18" s="145" t="str">
        <f t="shared" si="19"/>
        <v/>
      </c>
      <c r="AB18" s="75"/>
      <c r="AC18" s="75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</row>
    <row r="19" spans="1:51" ht="16.2">
      <c r="A19" s="52" t="s">
        <v>3</v>
      </c>
      <c r="B19" s="53" t="s">
        <v>276</v>
      </c>
      <c r="C19" s="54">
        <f>K20/2+Q20/7+Q22/1.4+T20/1.5</f>
        <v>7.6000000000000005</v>
      </c>
      <c r="D19" s="54">
        <f>(E19+H19)/2</f>
        <v>2.33</v>
      </c>
      <c r="E19" s="54">
        <f>(N21+Q21+Q24+T21+W20+Z20+Z22)/10</f>
        <v>2.0499999999999998</v>
      </c>
      <c r="F19" s="54">
        <v>0</v>
      </c>
      <c r="G19" s="54">
        <v>0</v>
      </c>
      <c r="H19" s="54">
        <f>N20*0.77/3+T25/3.5+0.1</f>
        <v>2.6100000000000003</v>
      </c>
      <c r="I19" s="54">
        <f>C19*70+D19*45+E19*25+H19*75+G19*60+F19*150</f>
        <v>883.85</v>
      </c>
      <c r="J19" s="77" t="s">
        <v>305</v>
      </c>
      <c r="K19" s="56"/>
      <c r="L19" s="66"/>
      <c r="M19" s="77" t="s">
        <v>306</v>
      </c>
      <c r="N19" s="56"/>
      <c r="O19" s="66"/>
      <c r="P19" s="77" t="s">
        <v>307</v>
      </c>
      <c r="Q19" s="56"/>
      <c r="R19" s="66"/>
      <c r="S19" s="77" t="s">
        <v>86</v>
      </c>
      <c r="T19" s="56"/>
      <c r="U19" s="66"/>
      <c r="V19" s="77" t="s">
        <v>92</v>
      </c>
      <c r="W19" s="78"/>
      <c r="X19" s="89"/>
      <c r="Y19" s="138" t="s">
        <v>496</v>
      </c>
      <c r="Z19" s="78"/>
      <c r="AA19" s="91"/>
      <c r="AB19" s="79" t="s">
        <v>283</v>
      </c>
      <c r="AC19" s="91" t="s">
        <v>56</v>
      </c>
      <c r="AD19" s="51" t="str">
        <f>A19</f>
        <v>A5</v>
      </c>
      <c r="AE19" s="47" t="str">
        <f>J19</f>
        <v>紅藜飯</v>
      </c>
      <c r="AF19" s="47" t="str">
        <f>J20&amp;" "&amp;J21&amp;" "&amp;J22&amp;" "&amp;J23&amp;" "&amp;J24&amp;" "&amp;J25</f>
        <v xml:space="preserve">米 紅藜    </v>
      </c>
      <c r="AG19" s="47" t="str">
        <f>M19</f>
        <v>堅果蔥燒雞</v>
      </c>
      <c r="AH19" s="47" t="str">
        <f>M20&amp;" "&amp;M21&amp;" "&amp;M22&amp;" "&amp;M23&amp;" "&amp;M24&amp;" "&amp;M25</f>
        <v xml:space="preserve">肉雞 時蔬 腰果 南瓜子 紅蔥頭 </v>
      </c>
      <c r="AI19" s="47" t="str">
        <f>P19</f>
        <v>關東煮</v>
      </c>
      <c r="AJ19" s="47" t="str">
        <f>P20&amp;" "&amp;P21&amp;" "&amp;P22&amp;" "&amp;P23&amp;" "&amp;P24&amp;" "&amp;P25</f>
        <v xml:space="preserve">黑輪 白蘿蔔 玉米 柴魚片 胡蘿蔔 </v>
      </c>
      <c r="AK19" s="47" t="str">
        <f>S19</f>
        <v>沙茶寬粉</v>
      </c>
      <c r="AL19" s="47" t="str">
        <f>S20&amp;" "&amp;S21&amp;" "&amp;S22&amp;" "&amp;S23&amp;" "&amp;S24&amp;" "&amp;S25</f>
        <v>寬粉 時蔬 乾木耳 大蒜 沙茶醬 豬絞肉</v>
      </c>
      <c r="AM19" s="47" t="str">
        <f>V19</f>
        <v>時蔬</v>
      </c>
      <c r="AN19" s="47" t="str">
        <f>V20&amp;" "&amp;V21&amp;" "&amp;V22&amp;" "&amp;V23&amp;" "&amp;V24&amp;" "&amp;V25</f>
        <v xml:space="preserve">蔬菜 大蒜    </v>
      </c>
      <c r="AO19" s="47" t="str">
        <f>Y19</f>
        <v>時瓜湯</v>
      </c>
      <c r="AP19" s="47" t="str">
        <f>Y20&amp;" "&amp;Y21&amp;" "&amp;Y22&amp;" "&amp;Y23&amp;" "&amp;Y24&amp;" "&amp;Y25</f>
        <v xml:space="preserve">時瓜 大骨 胡蘿蔔 薑  </v>
      </c>
      <c r="AQ19" s="51" t="str">
        <f>AB19</f>
        <v>點心</v>
      </c>
      <c r="AR19" s="51" t="str">
        <f>AC19</f>
        <v>有機豆奶</v>
      </c>
      <c r="AS19" s="86">
        <f t="shared" ref="AS19" si="21">C19</f>
        <v>7.6000000000000005</v>
      </c>
      <c r="AT19" s="86">
        <f t="shared" ref="AT19" si="22">H19</f>
        <v>2.6100000000000003</v>
      </c>
      <c r="AU19" s="86">
        <f t="shared" ref="AU19" si="23">E19</f>
        <v>2.0499999999999998</v>
      </c>
      <c r="AV19" s="86">
        <f t="shared" ref="AV19" si="24">D19</f>
        <v>2.33</v>
      </c>
      <c r="AW19" s="86">
        <f t="shared" ref="AW19" si="25">F19</f>
        <v>0</v>
      </c>
      <c r="AX19" s="86">
        <f t="shared" ref="AX19" si="26">G19</f>
        <v>0</v>
      </c>
      <c r="AY19" s="86">
        <f t="shared" ref="AY19" si="27">I19</f>
        <v>883.85</v>
      </c>
    </row>
    <row r="20" spans="1:51" ht="16.2">
      <c r="A20" s="57"/>
      <c r="B20" s="58"/>
      <c r="C20" s="59"/>
      <c r="D20" s="59"/>
      <c r="E20" s="59"/>
      <c r="F20" s="59"/>
      <c r="G20" s="59"/>
      <c r="H20" s="59"/>
      <c r="I20" s="60"/>
      <c r="J20" s="61" t="s">
        <v>284</v>
      </c>
      <c r="K20" s="62">
        <v>10</v>
      </c>
      <c r="L20" s="145" t="str">
        <f t="shared" ref="L20:L21" si="28">IF(K20,"公斤","")</f>
        <v>公斤</v>
      </c>
      <c r="M20" s="63" t="s">
        <v>6</v>
      </c>
      <c r="N20" s="64">
        <v>9</v>
      </c>
      <c r="O20" s="145" t="str">
        <f t="shared" ref="O20" si="29">IF(N20,"公斤","")</f>
        <v>公斤</v>
      </c>
      <c r="P20" s="62" t="s">
        <v>309</v>
      </c>
      <c r="Q20" s="62">
        <v>1.2</v>
      </c>
      <c r="R20" s="145" t="str">
        <f t="shared" ref="R20" si="30">IF(Q20,"公斤","")</f>
        <v>公斤</v>
      </c>
      <c r="S20" s="62" t="s">
        <v>90</v>
      </c>
      <c r="T20" s="62">
        <v>1.5</v>
      </c>
      <c r="U20" s="145" t="str">
        <f t="shared" ref="U20" si="31">IF(T20,"公斤","")</f>
        <v>公斤</v>
      </c>
      <c r="V20" s="62" t="s">
        <v>223</v>
      </c>
      <c r="W20" s="62">
        <v>7</v>
      </c>
      <c r="X20" s="145" t="str">
        <f t="shared" ref="X20" si="32">IF(W20,"公斤","")</f>
        <v>公斤</v>
      </c>
      <c r="Y20" s="137" t="s">
        <v>488</v>
      </c>
      <c r="Z20" s="64">
        <v>3</v>
      </c>
      <c r="AA20" s="145" t="str">
        <f t="shared" ref="AA20" si="33">IF(Z20,"公斤","")</f>
        <v>公斤</v>
      </c>
      <c r="AB20" s="62" t="s">
        <v>283</v>
      </c>
      <c r="AC20" s="62" t="s">
        <v>56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</row>
    <row r="21" spans="1:51" ht="16.2">
      <c r="A21" s="57"/>
      <c r="B21" s="218" t="s">
        <v>557</v>
      </c>
      <c r="C21" s="219">
        <f>C19-T20/1.5</f>
        <v>6.6000000000000005</v>
      </c>
      <c r="D21" s="219">
        <f>(E21+H21)/2</f>
        <v>2.08</v>
      </c>
      <c r="E21" s="219">
        <f>E19-T21/10</f>
        <v>1.7499999999999998</v>
      </c>
      <c r="F21" s="219">
        <f t="shared" ref="F21:G21" si="34">F19</f>
        <v>0</v>
      </c>
      <c r="G21" s="219">
        <f t="shared" si="34"/>
        <v>0</v>
      </c>
      <c r="H21" s="220">
        <f>H19-T25/3.5</f>
        <v>2.41</v>
      </c>
      <c r="I21" s="221">
        <f>C21*70+D21*45+E21*25+H21*75+G21*60+F21*150</f>
        <v>780.1</v>
      </c>
      <c r="J21" s="61" t="s">
        <v>310</v>
      </c>
      <c r="K21" s="62">
        <v>0.1</v>
      </c>
      <c r="L21" s="145" t="str">
        <f t="shared" si="28"/>
        <v>公斤</v>
      </c>
      <c r="M21" s="63" t="s">
        <v>92</v>
      </c>
      <c r="N21" s="64">
        <v>3</v>
      </c>
      <c r="O21" s="145" t="str">
        <f t="shared" si="15"/>
        <v>公斤</v>
      </c>
      <c r="P21" s="63" t="s">
        <v>290</v>
      </c>
      <c r="Q21" s="64">
        <v>3</v>
      </c>
      <c r="R21" s="145" t="str">
        <f t="shared" si="16"/>
        <v>公斤</v>
      </c>
      <c r="S21" s="62" t="s">
        <v>92</v>
      </c>
      <c r="T21" s="62">
        <v>3</v>
      </c>
      <c r="U21" s="145" t="str">
        <f t="shared" si="17"/>
        <v>公斤</v>
      </c>
      <c r="V21" s="62" t="s">
        <v>9</v>
      </c>
      <c r="W21" s="62">
        <v>0.05</v>
      </c>
      <c r="X21" s="145" t="str">
        <f t="shared" si="18"/>
        <v>公斤</v>
      </c>
      <c r="Y21" s="64" t="s">
        <v>311</v>
      </c>
      <c r="Z21" s="64">
        <v>1</v>
      </c>
      <c r="AA21" s="145" t="str">
        <f t="shared" si="19"/>
        <v>公斤</v>
      </c>
      <c r="AB21" s="62"/>
      <c r="AC21" s="62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</row>
    <row r="22" spans="1:51" ht="16.2">
      <c r="A22" s="57"/>
      <c r="B22" s="58"/>
      <c r="C22" s="59"/>
      <c r="D22" s="59"/>
      <c r="E22" s="59"/>
      <c r="F22" s="59"/>
      <c r="G22" s="59"/>
      <c r="H22" s="59"/>
      <c r="I22" s="67"/>
      <c r="J22" s="61"/>
      <c r="K22" s="62"/>
      <c r="L22" s="145" t="str">
        <f t="shared" si="14"/>
        <v/>
      </c>
      <c r="M22" s="63" t="s">
        <v>312</v>
      </c>
      <c r="N22" s="64">
        <v>0.1</v>
      </c>
      <c r="O22" s="145" t="str">
        <f t="shared" si="15"/>
        <v>公斤</v>
      </c>
      <c r="P22" s="63" t="s">
        <v>313</v>
      </c>
      <c r="Q22" s="64">
        <v>2</v>
      </c>
      <c r="R22" s="145" t="str">
        <f t="shared" si="16"/>
        <v>公斤</v>
      </c>
      <c r="S22" s="62" t="s">
        <v>95</v>
      </c>
      <c r="T22" s="62">
        <v>0.01</v>
      </c>
      <c r="U22" s="145" t="str">
        <f t="shared" si="17"/>
        <v>公斤</v>
      </c>
      <c r="V22" s="62"/>
      <c r="W22" s="62"/>
      <c r="X22" s="145" t="str">
        <f t="shared" si="18"/>
        <v/>
      </c>
      <c r="Y22" s="63" t="s">
        <v>8</v>
      </c>
      <c r="Z22" s="64">
        <v>0.5</v>
      </c>
      <c r="AA22" s="145" t="str">
        <f t="shared" si="19"/>
        <v>公斤</v>
      </c>
      <c r="AB22" s="62"/>
      <c r="AC22" s="62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</row>
    <row r="23" spans="1:51" ht="16.2">
      <c r="A23" s="57"/>
      <c r="B23" s="58"/>
      <c r="C23" s="59"/>
      <c r="D23" s="59"/>
      <c r="E23" s="59"/>
      <c r="F23" s="59"/>
      <c r="G23" s="59"/>
      <c r="H23" s="59"/>
      <c r="I23" s="59"/>
      <c r="J23" s="61"/>
      <c r="K23" s="62"/>
      <c r="L23" s="145" t="str">
        <f t="shared" si="14"/>
        <v/>
      </c>
      <c r="M23" s="63" t="s">
        <v>314</v>
      </c>
      <c r="N23" s="64">
        <v>0.1</v>
      </c>
      <c r="O23" s="145" t="str">
        <f t="shared" si="15"/>
        <v>公斤</v>
      </c>
      <c r="P23" s="63" t="s">
        <v>315</v>
      </c>
      <c r="Q23" s="64">
        <v>0.01</v>
      </c>
      <c r="R23" s="145" t="str">
        <f t="shared" si="16"/>
        <v>公斤</v>
      </c>
      <c r="S23" s="62" t="s">
        <v>9</v>
      </c>
      <c r="T23" s="62">
        <v>0.05</v>
      </c>
      <c r="U23" s="145" t="str">
        <f t="shared" si="17"/>
        <v>公斤</v>
      </c>
      <c r="V23" s="62"/>
      <c r="W23" s="62"/>
      <c r="X23" s="145" t="str">
        <f t="shared" si="18"/>
        <v/>
      </c>
      <c r="Y23" s="63" t="s">
        <v>117</v>
      </c>
      <c r="Z23" s="64">
        <v>0.05</v>
      </c>
      <c r="AA23" s="145" t="str">
        <f t="shared" si="19"/>
        <v>公斤</v>
      </c>
      <c r="AB23" s="62"/>
      <c r="AC23" s="62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</row>
    <row r="24" spans="1:51" ht="16.2">
      <c r="A24" s="57"/>
      <c r="B24" s="58"/>
      <c r="C24" s="59"/>
      <c r="D24" s="59"/>
      <c r="E24" s="59"/>
      <c r="F24" s="59"/>
      <c r="G24" s="59"/>
      <c r="H24" s="59"/>
      <c r="I24" s="59"/>
      <c r="J24" s="61"/>
      <c r="K24" s="62"/>
      <c r="L24" s="145" t="str">
        <f t="shared" si="14"/>
        <v/>
      </c>
      <c r="M24" s="63" t="s">
        <v>316</v>
      </c>
      <c r="N24" s="64">
        <v>0.05</v>
      </c>
      <c r="O24" s="145" t="str">
        <f t="shared" si="15"/>
        <v>公斤</v>
      </c>
      <c r="P24" s="63" t="s">
        <v>8</v>
      </c>
      <c r="Q24" s="64">
        <v>1</v>
      </c>
      <c r="R24" s="145" t="str">
        <f t="shared" si="16"/>
        <v>公斤</v>
      </c>
      <c r="S24" s="62" t="s">
        <v>317</v>
      </c>
      <c r="T24" s="62"/>
      <c r="U24" s="145" t="str">
        <f t="shared" si="17"/>
        <v/>
      </c>
      <c r="V24" s="62"/>
      <c r="W24" s="62"/>
      <c r="X24" s="145" t="str">
        <f t="shared" si="18"/>
        <v/>
      </c>
      <c r="Y24" s="62"/>
      <c r="Z24" s="62"/>
      <c r="AA24" s="145" t="str">
        <f t="shared" si="19"/>
        <v/>
      </c>
      <c r="AB24" s="62"/>
      <c r="AC24" s="62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</row>
    <row r="25" spans="1:51" ht="16.8" thickBot="1">
      <c r="A25" s="71"/>
      <c r="B25" s="72"/>
      <c r="C25" s="73"/>
      <c r="D25" s="73"/>
      <c r="E25" s="73"/>
      <c r="F25" s="73"/>
      <c r="G25" s="73"/>
      <c r="H25" s="73"/>
      <c r="I25" s="73"/>
      <c r="J25" s="74"/>
      <c r="K25" s="75"/>
      <c r="L25" s="145" t="str">
        <f t="shared" si="14"/>
        <v/>
      </c>
      <c r="M25" s="75"/>
      <c r="N25" s="75"/>
      <c r="O25" s="145" t="str">
        <f t="shared" si="15"/>
        <v/>
      </c>
      <c r="P25" s="75"/>
      <c r="Q25" s="75"/>
      <c r="R25" s="145" t="str">
        <f t="shared" si="16"/>
        <v/>
      </c>
      <c r="S25" s="75" t="s">
        <v>300</v>
      </c>
      <c r="T25" s="75">
        <v>0.7</v>
      </c>
      <c r="U25" s="145" t="str">
        <f t="shared" si="17"/>
        <v>公斤</v>
      </c>
      <c r="V25" s="75"/>
      <c r="W25" s="75"/>
      <c r="X25" s="145" t="str">
        <f t="shared" si="18"/>
        <v/>
      </c>
      <c r="Y25" s="75"/>
      <c r="Z25" s="75"/>
      <c r="AA25" s="145" t="str">
        <f t="shared" si="19"/>
        <v/>
      </c>
      <c r="AB25" s="75"/>
      <c r="AC25" s="75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</row>
    <row r="26" spans="1:51" ht="16.2">
      <c r="A26" s="52" t="s">
        <v>4</v>
      </c>
      <c r="B26" s="53" t="s">
        <v>276</v>
      </c>
      <c r="C26" s="54">
        <f>K27/2</f>
        <v>5</v>
      </c>
      <c r="D26" s="54">
        <f>(E26+H26)/2</f>
        <v>2.5821428571428573</v>
      </c>
      <c r="E26" s="54">
        <f>(N28+N29+Q28+Q29+W27+Z27)/10</f>
        <v>1.95</v>
      </c>
      <c r="F26" s="54">
        <v>0</v>
      </c>
      <c r="G26" s="54">
        <v>0</v>
      </c>
      <c r="H26" s="54">
        <f>N27/3.5+Q27/5.5+T28/4+0.1</f>
        <v>3.2142857142857144</v>
      </c>
      <c r="I26" s="54">
        <f>C26*70+D26*45+E26*25+H26*75+G26*60+F26*150</f>
        <v>756.01785714285711</v>
      </c>
      <c r="J26" s="77" t="s">
        <v>318</v>
      </c>
      <c r="K26" s="56"/>
      <c r="L26" s="66"/>
      <c r="M26" s="77" t="s">
        <v>319</v>
      </c>
      <c r="N26" s="78"/>
      <c r="O26" s="66"/>
      <c r="P26" s="77" t="s">
        <v>320</v>
      </c>
      <c r="Q26" s="78"/>
      <c r="R26" s="66"/>
      <c r="S26" s="77" t="s">
        <v>321</v>
      </c>
      <c r="T26" s="78"/>
      <c r="U26" s="66"/>
      <c r="V26" s="77" t="s">
        <v>92</v>
      </c>
      <c r="W26" s="78"/>
      <c r="X26" s="89"/>
      <c r="Y26" s="138" t="s">
        <v>495</v>
      </c>
      <c r="Z26" s="78"/>
      <c r="AA26" s="91"/>
      <c r="AB26" s="79" t="s">
        <v>283</v>
      </c>
      <c r="AC26" s="79"/>
      <c r="AD26" s="51" t="str">
        <f>A26</f>
        <v>B1</v>
      </c>
      <c r="AE26" s="47" t="str">
        <f>J26</f>
        <v>白米飯</v>
      </c>
      <c r="AF26" s="47" t="str">
        <f>J27&amp;" "&amp;J28&amp;" "&amp;J29&amp;" "&amp;J30&amp;" "&amp;J31&amp;" "&amp;J32</f>
        <v xml:space="preserve">米     </v>
      </c>
      <c r="AG26" s="47" t="str">
        <f>M26</f>
        <v>回鍋肉片</v>
      </c>
      <c r="AH26" s="47" t="str">
        <f>M27&amp;" "&amp;M28&amp;" "&amp;M29&amp;" "&amp;M30&amp;" "&amp;M31&amp;" "&amp;M32</f>
        <v xml:space="preserve">豬後腿肉 洋蔥 胡蘿蔔 大蒜  </v>
      </c>
      <c r="AI26" s="47" t="str">
        <f>P26</f>
        <v>蛋香白菜</v>
      </c>
      <c r="AJ26" s="47" t="str">
        <f>P27&amp;" "&amp;P28&amp;" "&amp;P29&amp;" "&amp;P30&amp;" "&amp;P31&amp;" "&amp;P32</f>
        <v xml:space="preserve">雞蛋 結球白菜 胡蘿蔔 大蒜  </v>
      </c>
      <c r="AK26" s="47" t="str">
        <f>S26</f>
        <v>蜜汁豆干</v>
      </c>
      <c r="AL26" s="47" t="str">
        <f>S27&amp;" "&amp;S28&amp;" "&amp;S29&amp;" "&amp;S30&amp;" "&amp;S31&amp;" "&amp;S32</f>
        <v xml:space="preserve">芝麻(熟) 豆干 大蒜 滷包  </v>
      </c>
      <c r="AM26" s="47" t="str">
        <f>V26</f>
        <v>時蔬</v>
      </c>
      <c r="AN26" s="47" t="str">
        <f>V27&amp;" "&amp;V28&amp;" "&amp;V29&amp;" "&amp;V30&amp;" "&amp;V31&amp;" "&amp;V32</f>
        <v xml:space="preserve">蔬菜 大蒜    </v>
      </c>
      <c r="AO26" s="47" t="str">
        <f>Y26</f>
        <v>時蔬大骨湯</v>
      </c>
      <c r="AP26" s="47" t="str">
        <f>Y27&amp;" "&amp;Y28&amp;" "&amp;Y29&amp;" "&amp;Y30&amp;" "&amp;Y31&amp;" "&amp;Y32</f>
        <v xml:space="preserve">時蔬 大骨 薑 枸杞  </v>
      </c>
      <c r="AQ26" s="51" t="str">
        <f>AB26</f>
        <v>點心</v>
      </c>
      <c r="AR26" s="51">
        <f>AC26</f>
        <v>0</v>
      </c>
      <c r="AS26" s="86">
        <f t="shared" ref="AS26" si="35">C26</f>
        <v>5</v>
      </c>
      <c r="AT26" s="86">
        <f t="shared" ref="AT26" si="36">H26</f>
        <v>3.2142857142857144</v>
      </c>
      <c r="AU26" s="86">
        <f t="shared" ref="AU26" si="37">E26</f>
        <v>1.95</v>
      </c>
      <c r="AV26" s="86">
        <f t="shared" ref="AV26" si="38">D26</f>
        <v>2.5821428571428573</v>
      </c>
      <c r="AW26" s="86">
        <f t="shared" ref="AW26" si="39">F26</f>
        <v>0</v>
      </c>
      <c r="AX26" s="86">
        <f t="shared" ref="AX26" si="40">G26</f>
        <v>0</v>
      </c>
      <c r="AY26" s="86">
        <f t="shared" ref="AY26" si="41">I26</f>
        <v>756.01785714285711</v>
      </c>
    </row>
    <row r="27" spans="1:51" ht="16.2">
      <c r="A27" s="57"/>
      <c r="B27" s="58"/>
      <c r="C27" s="59"/>
      <c r="D27" s="59"/>
      <c r="E27" s="59"/>
      <c r="F27" s="59"/>
      <c r="G27" s="59"/>
      <c r="H27" s="59"/>
      <c r="I27" s="60"/>
      <c r="J27" s="61" t="s">
        <v>284</v>
      </c>
      <c r="K27" s="62">
        <v>10</v>
      </c>
      <c r="L27" s="145" t="str">
        <f t="shared" ref="L27:L28" si="42">IF(K27,"公斤","")</f>
        <v>公斤</v>
      </c>
      <c r="M27" s="62" t="s">
        <v>291</v>
      </c>
      <c r="N27" s="62">
        <v>6</v>
      </c>
      <c r="O27" s="145" t="str">
        <f t="shared" ref="O27" si="43">IF(N27,"公斤","")</f>
        <v>公斤</v>
      </c>
      <c r="P27" s="62" t="s">
        <v>28</v>
      </c>
      <c r="Q27" s="62">
        <v>2.2000000000000002</v>
      </c>
      <c r="R27" s="145" t="str">
        <f t="shared" ref="R27" si="44">IF(Q27,"公斤","")</f>
        <v>公斤</v>
      </c>
      <c r="S27" s="62" t="s">
        <v>322</v>
      </c>
      <c r="T27" s="62">
        <v>0.01</v>
      </c>
      <c r="U27" s="145" t="str">
        <f t="shared" ref="U27" si="45">IF(T27,"公斤","")</f>
        <v>公斤</v>
      </c>
      <c r="V27" s="62" t="s">
        <v>223</v>
      </c>
      <c r="W27" s="62">
        <v>7</v>
      </c>
      <c r="X27" s="145" t="str">
        <f t="shared" ref="X27" si="46">IF(W27,"公斤","")</f>
        <v>公斤</v>
      </c>
      <c r="Y27" s="139" t="s">
        <v>494</v>
      </c>
      <c r="Z27" s="62">
        <v>3</v>
      </c>
      <c r="AA27" s="145" t="str">
        <f t="shared" ref="AA27" si="47">IF(Z27,"公斤","")</f>
        <v>公斤</v>
      </c>
      <c r="AB27" s="62" t="s">
        <v>283</v>
      </c>
      <c r="AC27" s="62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</row>
    <row r="28" spans="1:51" ht="16.2">
      <c r="A28" s="57"/>
      <c r="B28" s="218" t="s">
        <v>557</v>
      </c>
      <c r="C28" s="219">
        <f>C26</f>
        <v>5</v>
      </c>
      <c r="D28" s="219">
        <f>(E28+H28)/2</f>
        <v>2.0821428571428573</v>
      </c>
      <c r="E28" s="219">
        <f t="shared" ref="E28:G28" si="48">E26</f>
        <v>1.95</v>
      </c>
      <c r="F28" s="219">
        <f t="shared" si="48"/>
        <v>0</v>
      </c>
      <c r="G28" s="219">
        <f t="shared" si="48"/>
        <v>0</v>
      </c>
      <c r="H28" s="220">
        <f>H26-T28/4</f>
        <v>2.2142857142857144</v>
      </c>
      <c r="I28" s="221">
        <f>C28*70+D28*45+E28*25+H28*75+G28*60+F28*150</f>
        <v>658.51785714285711</v>
      </c>
      <c r="J28" s="61"/>
      <c r="K28" s="62"/>
      <c r="L28" s="145" t="str">
        <f t="shared" si="42"/>
        <v/>
      </c>
      <c r="M28" s="62" t="s">
        <v>7</v>
      </c>
      <c r="N28" s="62">
        <v>3</v>
      </c>
      <c r="O28" s="145" t="str">
        <f t="shared" si="15"/>
        <v>公斤</v>
      </c>
      <c r="P28" s="62" t="s">
        <v>323</v>
      </c>
      <c r="Q28" s="62">
        <v>5</v>
      </c>
      <c r="R28" s="145" t="str">
        <f t="shared" si="16"/>
        <v>公斤</v>
      </c>
      <c r="S28" s="62" t="s">
        <v>324</v>
      </c>
      <c r="T28" s="62">
        <v>4</v>
      </c>
      <c r="U28" s="145" t="str">
        <f t="shared" si="17"/>
        <v>公斤</v>
      </c>
      <c r="V28" s="62" t="s">
        <v>9</v>
      </c>
      <c r="W28" s="62">
        <v>0.05</v>
      </c>
      <c r="X28" s="145" t="str">
        <f t="shared" si="18"/>
        <v>公斤</v>
      </c>
      <c r="Y28" s="64" t="s">
        <v>311</v>
      </c>
      <c r="Z28" s="64">
        <v>1</v>
      </c>
      <c r="AA28" s="145" t="str">
        <f t="shared" si="19"/>
        <v>公斤</v>
      </c>
      <c r="AB28" s="62"/>
      <c r="AC28" s="62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</row>
    <row r="29" spans="1:51" ht="16.2">
      <c r="A29" s="57"/>
      <c r="B29" s="218"/>
      <c r="C29" s="219"/>
      <c r="D29" s="219"/>
      <c r="E29" s="219"/>
      <c r="F29" s="219"/>
      <c r="G29" s="219"/>
      <c r="H29" s="219"/>
      <c r="I29" s="222"/>
      <c r="J29" s="61"/>
      <c r="K29" s="62"/>
      <c r="L29" s="145" t="str">
        <f t="shared" si="14"/>
        <v/>
      </c>
      <c r="M29" s="62" t="s">
        <v>8</v>
      </c>
      <c r="N29" s="62">
        <v>1</v>
      </c>
      <c r="O29" s="145" t="str">
        <f t="shared" si="15"/>
        <v>公斤</v>
      </c>
      <c r="P29" s="62" t="s">
        <v>8</v>
      </c>
      <c r="Q29" s="62">
        <v>0.5</v>
      </c>
      <c r="R29" s="145" t="str">
        <f t="shared" si="16"/>
        <v>公斤</v>
      </c>
      <c r="S29" s="62" t="s">
        <v>9</v>
      </c>
      <c r="T29" s="62">
        <v>0.05</v>
      </c>
      <c r="U29" s="145" t="str">
        <f t="shared" si="17"/>
        <v>公斤</v>
      </c>
      <c r="V29" s="62"/>
      <c r="W29" s="62"/>
      <c r="X29" s="145" t="str">
        <f t="shared" si="18"/>
        <v/>
      </c>
      <c r="Y29" s="62" t="s">
        <v>117</v>
      </c>
      <c r="Z29" s="62">
        <v>0.05</v>
      </c>
      <c r="AA29" s="145" t="str">
        <f t="shared" si="19"/>
        <v>公斤</v>
      </c>
      <c r="AB29" s="62"/>
      <c r="AC29" s="62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</row>
    <row r="30" spans="1:51" ht="16.2">
      <c r="A30" s="57"/>
      <c r="B30" s="58"/>
      <c r="C30" s="59"/>
      <c r="D30" s="59"/>
      <c r="E30" s="59"/>
      <c r="F30" s="59"/>
      <c r="G30" s="59"/>
      <c r="H30" s="59"/>
      <c r="I30" s="59"/>
      <c r="J30" s="61"/>
      <c r="K30" s="62"/>
      <c r="L30" s="145" t="str">
        <f t="shared" si="14"/>
        <v/>
      </c>
      <c r="M30" s="62" t="s">
        <v>9</v>
      </c>
      <c r="N30" s="62">
        <v>0.05</v>
      </c>
      <c r="O30" s="145" t="str">
        <f t="shared" si="15"/>
        <v>公斤</v>
      </c>
      <c r="P30" s="62" t="s">
        <v>9</v>
      </c>
      <c r="Q30" s="62">
        <v>0.05</v>
      </c>
      <c r="R30" s="145" t="str">
        <f t="shared" si="16"/>
        <v>公斤</v>
      </c>
      <c r="S30" s="62" t="s">
        <v>325</v>
      </c>
      <c r="T30" s="62"/>
      <c r="U30" s="145" t="str">
        <f t="shared" si="17"/>
        <v/>
      </c>
      <c r="V30" s="62"/>
      <c r="W30" s="62"/>
      <c r="X30" s="145" t="str">
        <f t="shared" si="18"/>
        <v/>
      </c>
      <c r="Y30" s="62" t="s">
        <v>179</v>
      </c>
      <c r="Z30" s="62"/>
      <c r="AA30" s="145" t="str">
        <f t="shared" si="19"/>
        <v/>
      </c>
      <c r="AB30" s="62"/>
      <c r="AC30" s="62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</row>
    <row r="31" spans="1:51" ht="16.2">
      <c r="A31" s="57"/>
      <c r="B31" s="58"/>
      <c r="C31" s="59"/>
      <c r="D31" s="59"/>
      <c r="E31" s="59"/>
      <c r="F31" s="59"/>
      <c r="G31" s="59"/>
      <c r="H31" s="59"/>
      <c r="I31" s="59"/>
      <c r="J31" s="61"/>
      <c r="K31" s="62"/>
      <c r="L31" s="145" t="str">
        <f t="shared" si="14"/>
        <v/>
      </c>
      <c r="M31" s="62"/>
      <c r="N31" s="62"/>
      <c r="O31" s="145" t="str">
        <f t="shared" si="15"/>
        <v/>
      </c>
      <c r="P31" s="62"/>
      <c r="Q31" s="62"/>
      <c r="R31" s="145" t="str">
        <f t="shared" si="16"/>
        <v/>
      </c>
      <c r="S31" s="62"/>
      <c r="T31" s="62"/>
      <c r="U31" s="145" t="str">
        <f t="shared" si="17"/>
        <v/>
      </c>
      <c r="V31" s="62"/>
      <c r="W31" s="62"/>
      <c r="X31" s="145" t="str">
        <f t="shared" si="18"/>
        <v/>
      </c>
      <c r="Y31" s="62"/>
      <c r="Z31" s="62"/>
      <c r="AA31" s="145" t="str">
        <f t="shared" si="19"/>
        <v/>
      </c>
      <c r="AB31" s="62"/>
      <c r="AC31" s="62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</row>
    <row r="32" spans="1:51" ht="16.8" thickBot="1">
      <c r="A32" s="71"/>
      <c r="B32" s="72"/>
      <c r="C32" s="73"/>
      <c r="D32" s="73"/>
      <c r="E32" s="73"/>
      <c r="F32" s="73"/>
      <c r="G32" s="73"/>
      <c r="H32" s="73"/>
      <c r="I32" s="73"/>
      <c r="J32" s="74"/>
      <c r="K32" s="75"/>
      <c r="L32" s="145" t="str">
        <f t="shared" si="14"/>
        <v/>
      </c>
      <c r="M32" s="75"/>
      <c r="N32" s="75"/>
      <c r="O32" s="145" t="str">
        <f t="shared" si="15"/>
        <v/>
      </c>
      <c r="P32" s="75"/>
      <c r="Q32" s="75"/>
      <c r="R32" s="145" t="str">
        <f t="shared" si="16"/>
        <v/>
      </c>
      <c r="S32" s="75"/>
      <c r="T32" s="75"/>
      <c r="U32" s="145" t="str">
        <f t="shared" si="17"/>
        <v/>
      </c>
      <c r="V32" s="75"/>
      <c r="W32" s="75"/>
      <c r="X32" s="145" t="str">
        <f t="shared" si="18"/>
        <v/>
      </c>
      <c r="Y32" s="75"/>
      <c r="Z32" s="75"/>
      <c r="AA32" s="145" t="str">
        <f t="shared" si="19"/>
        <v/>
      </c>
      <c r="AB32" s="75"/>
      <c r="AC32" s="75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</row>
    <row r="33" spans="1:51" ht="16.2">
      <c r="A33" s="52" t="s">
        <v>5</v>
      </c>
      <c r="B33" s="53" t="s">
        <v>276</v>
      </c>
      <c r="C33" s="54">
        <f>K34/2+K35/2+T35/9</f>
        <v>5.2</v>
      </c>
      <c r="D33" s="54">
        <f>(E33+H33)/2</f>
        <v>2.4950000000000001</v>
      </c>
      <c r="E33" s="54">
        <f>(Q35+Q36+T34+T36+W34+Z34*8+Z36+Q37)/10</f>
        <v>2.1800000000000002</v>
      </c>
      <c r="F33" s="54">
        <v>0</v>
      </c>
      <c r="G33" s="54">
        <v>0</v>
      </c>
      <c r="H33" s="54">
        <f>N34*0.77/3+Q34/8</f>
        <v>2.81</v>
      </c>
      <c r="I33" s="54">
        <f>C33*70+D33*45+E33*25+H33*75+G33*60+F33*150</f>
        <v>741.52499999999998</v>
      </c>
      <c r="J33" s="77" t="s">
        <v>295</v>
      </c>
      <c r="K33" s="78"/>
      <c r="L33" s="66"/>
      <c r="M33" s="77" t="s">
        <v>326</v>
      </c>
      <c r="N33" s="56"/>
      <c r="O33" s="66"/>
      <c r="P33" s="77" t="s">
        <v>327</v>
      </c>
      <c r="Q33" s="56"/>
      <c r="R33" s="66"/>
      <c r="S33" s="77" t="s">
        <v>111</v>
      </c>
      <c r="T33" s="56"/>
      <c r="U33" s="66"/>
      <c r="V33" s="55" t="s">
        <v>92</v>
      </c>
      <c r="W33" s="78"/>
      <c r="X33" s="89"/>
      <c r="Y33" s="55" t="s">
        <v>328</v>
      </c>
      <c r="Z33" s="78"/>
      <c r="AA33" s="91"/>
      <c r="AB33" s="79" t="s">
        <v>283</v>
      </c>
      <c r="AC33" s="80"/>
      <c r="AD33" s="51" t="str">
        <f>A33</f>
        <v>B2</v>
      </c>
      <c r="AE33" s="47" t="str">
        <f>J33</f>
        <v>糙米飯</v>
      </c>
      <c r="AF33" s="47" t="str">
        <f>J34&amp;" "&amp;J35&amp;" "&amp;J36&amp;" "&amp;J37&amp;" "&amp;J38&amp;" "&amp;J39</f>
        <v xml:space="preserve">米 糙米    </v>
      </c>
      <c r="AG33" s="47" t="str">
        <f>M33</f>
        <v>香滷雞翅</v>
      </c>
      <c r="AH33" s="47" t="str">
        <f>M34&amp;" "&amp;M35&amp;" "&amp;M36&amp;" "&amp;M37&amp;" "&amp;M38&amp;" "&amp;M39</f>
        <v xml:space="preserve">三節翅 滷包    </v>
      </c>
      <c r="AI33" s="47" t="str">
        <f>P33</f>
        <v>番茄凍腐</v>
      </c>
      <c r="AJ33" s="47" t="str">
        <f>P34&amp;" "&amp;P35&amp;" "&amp;P36&amp;" "&amp;P37&amp;" "&amp;P38&amp;" "&amp;P39</f>
        <v xml:space="preserve">凍豆腐 大番茄 青蔥 洋蔥 薑 </v>
      </c>
      <c r="AK33" s="47" t="str">
        <f>S33</f>
        <v>田園花椰</v>
      </c>
      <c r="AL33" s="47" t="str">
        <f>S34&amp;" "&amp;S35&amp;" "&amp;S36&amp;" "&amp;S37&amp;" "&amp;S38&amp;" "&amp;S39</f>
        <v xml:space="preserve">冷凍花椰菜 馬鈴薯 胡蘿蔔 大蒜  </v>
      </c>
      <c r="AM33" s="47" t="str">
        <f>V33</f>
        <v>時蔬</v>
      </c>
      <c r="AN33" s="47" t="str">
        <f>V34&amp;" "&amp;V35&amp;" "&amp;V36&amp;" "&amp;V37&amp;" "&amp;V38&amp;" "&amp;V39</f>
        <v xml:space="preserve">蔬菜 大蒜    </v>
      </c>
      <c r="AO33" s="47" t="str">
        <f>Y33</f>
        <v>味噌海芽湯</v>
      </c>
      <c r="AP33" s="47" t="str">
        <f>Y34&amp;" "&amp;Y35&amp;" "&amp;Y36&amp;" "&amp;Y37&amp;" "&amp;Y38&amp;" "&amp;Y39</f>
        <v xml:space="preserve">乾裙帶菜 味噌 白蘿蔔 薑  </v>
      </c>
      <c r="AQ33" s="51" t="str">
        <f>AB33</f>
        <v>點心</v>
      </c>
      <c r="AR33" s="51">
        <f>AC33</f>
        <v>0</v>
      </c>
      <c r="AS33" s="86">
        <f t="shared" ref="AS33" si="49">C33</f>
        <v>5.2</v>
      </c>
      <c r="AT33" s="86">
        <f t="shared" ref="AT33" si="50">H33</f>
        <v>2.81</v>
      </c>
      <c r="AU33" s="86">
        <f t="shared" ref="AU33" si="51">E33</f>
        <v>2.1800000000000002</v>
      </c>
      <c r="AV33" s="86">
        <f t="shared" ref="AV33" si="52">D33</f>
        <v>2.4950000000000001</v>
      </c>
      <c r="AW33" s="86">
        <f t="shared" ref="AW33" si="53">F33</f>
        <v>0</v>
      </c>
      <c r="AX33" s="86">
        <f t="shared" ref="AX33" si="54">G33</f>
        <v>0</v>
      </c>
      <c r="AY33" s="86">
        <f t="shared" ref="AY33" si="55">I33</f>
        <v>741.52499999999998</v>
      </c>
    </row>
    <row r="34" spans="1:51" ht="16.2">
      <c r="A34" s="57"/>
      <c r="B34" s="58"/>
      <c r="C34" s="59"/>
      <c r="D34" s="59"/>
      <c r="E34" s="59"/>
      <c r="F34" s="59"/>
      <c r="G34" s="59"/>
      <c r="H34" s="59"/>
      <c r="I34" s="60"/>
      <c r="J34" s="61" t="s">
        <v>284</v>
      </c>
      <c r="K34" s="62">
        <v>7</v>
      </c>
      <c r="L34" s="145" t="str">
        <f t="shared" ref="L34:L35" si="56">IF(K34,"公斤","")</f>
        <v>公斤</v>
      </c>
      <c r="M34" s="63" t="s">
        <v>329</v>
      </c>
      <c r="N34" s="64">
        <v>9</v>
      </c>
      <c r="O34" s="145" t="str">
        <f t="shared" ref="O34" si="57">IF(N34,"公斤","")</f>
        <v>公斤</v>
      </c>
      <c r="P34" s="62" t="s">
        <v>330</v>
      </c>
      <c r="Q34" s="62">
        <v>4</v>
      </c>
      <c r="R34" s="145" t="str">
        <f t="shared" ref="R34" si="58">IF(Q34,"公斤","")</f>
        <v>公斤</v>
      </c>
      <c r="S34" s="63" t="s">
        <v>113</v>
      </c>
      <c r="T34" s="64">
        <v>6</v>
      </c>
      <c r="U34" s="145" t="str">
        <f t="shared" ref="U34" si="59">IF(T34,"公斤","")</f>
        <v>公斤</v>
      </c>
      <c r="V34" s="64" t="s">
        <v>223</v>
      </c>
      <c r="W34" s="64">
        <v>7</v>
      </c>
      <c r="X34" s="145" t="str">
        <f t="shared" ref="X34" si="60">IF(W34,"公斤","")</f>
        <v>公斤</v>
      </c>
      <c r="Y34" s="64" t="s">
        <v>167</v>
      </c>
      <c r="Z34" s="64">
        <v>0.1</v>
      </c>
      <c r="AA34" s="145" t="str">
        <f t="shared" ref="AA34" si="61">IF(Z34,"公斤","")</f>
        <v>公斤</v>
      </c>
      <c r="AB34" s="62" t="s">
        <v>283</v>
      </c>
      <c r="AC34" s="62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</row>
    <row r="35" spans="1:51" ht="16.2">
      <c r="A35" s="57"/>
      <c r="B35" s="218" t="s">
        <v>557</v>
      </c>
      <c r="C35" s="219">
        <f>C33-T35/9</f>
        <v>5</v>
      </c>
      <c r="D35" s="219">
        <f>(E35+H35)/2</f>
        <v>2.17</v>
      </c>
      <c r="E35" s="219">
        <f>E33-(T34+T36)/10</f>
        <v>1.5300000000000002</v>
      </c>
      <c r="F35" s="219">
        <f t="shared" ref="F35:H35" si="62">F33</f>
        <v>0</v>
      </c>
      <c r="G35" s="219">
        <f t="shared" si="62"/>
        <v>0</v>
      </c>
      <c r="H35" s="220">
        <f t="shared" si="62"/>
        <v>2.81</v>
      </c>
      <c r="I35" s="221">
        <f>C35*70+D35*45+E35*25+H35*75+G35*60+F35*150</f>
        <v>696.65</v>
      </c>
      <c r="J35" s="61" t="s">
        <v>287</v>
      </c>
      <c r="K35" s="62">
        <v>3</v>
      </c>
      <c r="L35" s="145" t="str">
        <f t="shared" si="56"/>
        <v>公斤</v>
      </c>
      <c r="M35" s="63" t="s">
        <v>325</v>
      </c>
      <c r="N35" s="64"/>
      <c r="O35" s="145" t="str">
        <f t="shared" si="15"/>
        <v/>
      </c>
      <c r="P35" s="62" t="s">
        <v>115</v>
      </c>
      <c r="Q35" s="62">
        <v>1.5</v>
      </c>
      <c r="R35" s="145" t="str">
        <f t="shared" si="16"/>
        <v>公斤</v>
      </c>
      <c r="S35" s="63" t="s">
        <v>31</v>
      </c>
      <c r="T35" s="64">
        <v>1.8</v>
      </c>
      <c r="U35" s="145" t="str">
        <f t="shared" si="17"/>
        <v>公斤</v>
      </c>
      <c r="V35" s="64" t="s">
        <v>9</v>
      </c>
      <c r="W35" s="64">
        <v>0.05</v>
      </c>
      <c r="X35" s="145" t="str">
        <f t="shared" si="18"/>
        <v>公斤</v>
      </c>
      <c r="Y35" s="64" t="s">
        <v>331</v>
      </c>
      <c r="Z35" s="64">
        <v>0.6</v>
      </c>
      <c r="AA35" s="145" t="str">
        <f t="shared" si="19"/>
        <v>公斤</v>
      </c>
      <c r="AB35" s="62"/>
      <c r="AC35" s="62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</row>
    <row r="36" spans="1:51" ht="16.2">
      <c r="A36" s="57"/>
      <c r="B36" s="58"/>
      <c r="C36" s="59"/>
      <c r="D36" s="59"/>
      <c r="E36" s="59"/>
      <c r="F36" s="59"/>
      <c r="G36" s="59"/>
      <c r="H36" s="59"/>
      <c r="I36" s="67"/>
      <c r="J36" s="61"/>
      <c r="K36" s="62"/>
      <c r="L36" s="145" t="str">
        <f t="shared" si="14"/>
        <v/>
      </c>
      <c r="M36" s="63"/>
      <c r="N36" s="64"/>
      <c r="O36" s="145" t="str">
        <f t="shared" si="15"/>
        <v/>
      </c>
      <c r="P36" s="62" t="s">
        <v>332</v>
      </c>
      <c r="Q36" s="62">
        <v>0.5</v>
      </c>
      <c r="R36" s="145" t="str">
        <f t="shared" si="16"/>
        <v>公斤</v>
      </c>
      <c r="S36" s="63" t="s">
        <v>8</v>
      </c>
      <c r="T36" s="64">
        <v>0.5</v>
      </c>
      <c r="U36" s="145" t="str">
        <f t="shared" si="17"/>
        <v>公斤</v>
      </c>
      <c r="V36" s="64"/>
      <c r="W36" s="64"/>
      <c r="X36" s="145" t="str">
        <f t="shared" si="18"/>
        <v/>
      </c>
      <c r="Y36" s="64" t="s">
        <v>290</v>
      </c>
      <c r="Z36" s="64">
        <v>4</v>
      </c>
      <c r="AA36" s="145" t="str">
        <f t="shared" si="19"/>
        <v>公斤</v>
      </c>
      <c r="AB36" s="62"/>
      <c r="AC36" s="62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51" ht="16.2">
      <c r="A37" s="57"/>
      <c r="B37" s="58"/>
      <c r="C37" s="59"/>
      <c r="D37" s="59"/>
      <c r="E37" s="59"/>
      <c r="F37" s="59"/>
      <c r="G37" s="59"/>
      <c r="H37" s="59"/>
      <c r="I37" s="59"/>
      <c r="J37" s="61"/>
      <c r="K37" s="62"/>
      <c r="L37" s="145" t="str">
        <f t="shared" si="14"/>
        <v/>
      </c>
      <c r="M37" s="63"/>
      <c r="N37" s="64"/>
      <c r="O37" s="145" t="str">
        <f t="shared" si="15"/>
        <v/>
      </c>
      <c r="P37" s="62" t="s">
        <v>7</v>
      </c>
      <c r="Q37" s="62">
        <v>1.5</v>
      </c>
      <c r="R37" s="145" t="str">
        <f t="shared" si="16"/>
        <v>公斤</v>
      </c>
      <c r="S37" s="63" t="s">
        <v>9</v>
      </c>
      <c r="T37" s="64">
        <v>0.05</v>
      </c>
      <c r="U37" s="145" t="str">
        <f t="shared" si="17"/>
        <v>公斤</v>
      </c>
      <c r="V37" s="64"/>
      <c r="W37" s="64"/>
      <c r="X37" s="145" t="str">
        <f t="shared" si="18"/>
        <v/>
      </c>
      <c r="Y37" s="64" t="s">
        <v>117</v>
      </c>
      <c r="Z37" s="64">
        <v>0.05</v>
      </c>
      <c r="AA37" s="145" t="str">
        <f t="shared" si="19"/>
        <v>公斤</v>
      </c>
      <c r="AB37" s="62"/>
      <c r="AC37" s="62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51" ht="16.2">
      <c r="A38" s="57"/>
      <c r="B38" s="58"/>
      <c r="C38" s="59"/>
      <c r="D38" s="59"/>
      <c r="E38" s="59"/>
      <c r="F38" s="59"/>
      <c r="G38" s="59"/>
      <c r="H38" s="59"/>
      <c r="I38" s="59"/>
      <c r="J38" s="61"/>
      <c r="K38" s="62"/>
      <c r="L38" s="145" t="str">
        <f t="shared" si="14"/>
        <v/>
      </c>
      <c r="M38" s="63"/>
      <c r="N38" s="64"/>
      <c r="O38" s="145" t="str">
        <f t="shared" si="15"/>
        <v/>
      </c>
      <c r="P38" s="62" t="s">
        <v>117</v>
      </c>
      <c r="Q38" s="62">
        <v>0.05</v>
      </c>
      <c r="R38" s="145" t="str">
        <f t="shared" si="16"/>
        <v>公斤</v>
      </c>
      <c r="S38" s="62"/>
      <c r="T38" s="62"/>
      <c r="U38" s="145" t="str">
        <f t="shared" si="17"/>
        <v/>
      </c>
      <c r="V38" s="64"/>
      <c r="W38" s="64"/>
      <c r="X38" s="145" t="str">
        <f t="shared" si="18"/>
        <v/>
      </c>
      <c r="Y38" s="64"/>
      <c r="Z38" s="64"/>
      <c r="AA38" s="145" t="str">
        <f t="shared" si="19"/>
        <v/>
      </c>
      <c r="AB38" s="62"/>
      <c r="AC38" s="62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</row>
    <row r="39" spans="1:51" ht="16.8" thickBot="1">
      <c r="A39" s="71"/>
      <c r="B39" s="72"/>
      <c r="C39" s="73"/>
      <c r="D39" s="73"/>
      <c r="E39" s="73"/>
      <c r="F39" s="73"/>
      <c r="G39" s="73"/>
      <c r="H39" s="73"/>
      <c r="I39" s="73"/>
      <c r="J39" s="74"/>
      <c r="K39" s="75"/>
      <c r="L39" s="145" t="str">
        <f t="shared" si="14"/>
        <v/>
      </c>
      <c r="M39" s="75"/>
      <c r="N39" s="75"/>
      <c r="O39" s="145" t="str">
        <f t="shared" si="15"/>
        <v/>
      </c>
      <c r="P39" s="75"/>
      <c r="Q39" s="75"/>
      <c r="R39" s="145" t="str">
        <f t="shared" si="16"/>
        <v/>
      </c>
      <c r="S39" s="75"/>
      <c r="T39" s="75"/>
      <c r="U39" s="145" t="str">
        <f t="shared" si="17"/>
        <v/>
      </c>
      <c r="V39" s="75"/>
      <c r="W39" s="75"/>
      <c r="X39" s="145" t="str">
        <f t="shared" si="18"/>
        <v/>
      </c>
      <c r="Y39" s="75"/>
      <c r="Z39" s="75"/>
      <c r="AA39" s="145" t="str">
        <f t="shared" si="19"/>
        <v/>
      </c>
      <c r="AB39" s="75"/>
      <c r="AC39" s="75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</row>
    <row r="40" spans="1:51" ht="16.2">
      <c r="A40" s="52" t="s">
        <v>10</v>
      </c>
      <c r="B40" s="53" t="s">
        <v>276</v>
      </c>
      <c r="C40" s="54">
        <f>K41/3</f>
        <v>2</v>
      </c>
      <c r="D40" s="54">
        <f>(E40+H40)/2</f>
        <v>2.2999999999999998</v>
      </c>
      <c r="E40" s="54">
        <f>(N42+Q41+W41+Z41+Z42)/10</f>
        <v>2</v>
      </c>
      <c r="F40" s="54">
        <v>0</v>
      </c>
      <c r="G40" s="54">
        <v>0</v>
      </c>
      <c r="H40" s="54">
        <f>N41/3.5+Q42/3.5+T41/5</f>
        <v>2.5999999999999996</v>
      </c>
      <c r="I40" s="54">
        <f>C40*70+D40*45+E40*25+H40*75+G40*60+F40*150</f>
        <v>488.5</v>
      </c>
      <c r="J40" s="138" t="s">
        <v>509</v>
      </c>
      <c r="K40" s="78"/>
      <c r="L40" s="66"/>
      <c r="M40" s="138" t="s">
        <v>510</v>
      </c>
      <c r="N40" s="78"/>
      <c r="O40" s="66"/>
      <c r="P40" s="77" t="s">
        <v>333</v>
      </c>
      <c r="Q40" s="78"/>
      <c r="R40" s="66"/>
      <c r="S40" s="77" t="s">
        <v>334</v>
      </c>
      <c r="T40" s="78"/>
      <c r="U40" s="66"/>
      <c r="V40" s="77" t="s">
        <v>92</v>
      </c>
      <c r="W40" s="78"/>
      <c r="X40" s="89"/>
      <c r="Y40" s="138" t="s">
        <v>512</v>
      </c>
      <c r="Z40" s="78"/>
      <c r="AA40" s="91"/>
      <c r="AB40" s="79" t="s">
        <v>283</v>
      </c>
      <c r="AC40" s="80"/>
      <c r="AD40" s="51" t="str">
        <f>A40</f>
        <v>B3</v>
      </c>
      <c r="AE40" s="47" t="str">
        <f>J40</f>
        <v>越式特餐</v>
      </c>
      <c r="AF40" s="47" t="str">
        <f>J41&amp;" "&amp;J42&amp;" "&amp;J43&amp;" "&amp;J44&amp;" "&amp;J45&amp;" "&amp;J46</f>
        <v xml:space="preserve">米粉     </v>
      </c>
      <c r="AG40" s="47" t="str">
        <f>M40</f>
        <v>特餐配料</v>
      </c>
      <c r="AH40" s="47" t="str">
        <f>M41&amp;" "&amp;M42&amp;" "&amp;M43&amp;" "&amp;M44&amp;" "&amp;M45&amp;" "&amp;M46</f>
        <v xml:space="preserve">豬後腿肉 甘藍 大蒜 九層塔  </v>
      </c>
      <c r="AI40" s="47" t="str">
        <f>P40</f>
        <v>肉絲豆芽</v>
      </c>
      <c r="AJ40" s="47" t="str">
        <f>P41&amp;" "&amp;P42&amp;" "&amp;P43&amp;" "&amp;P44&amp;" "&amp;P45&amp;" "&amp;P46</f>
        <v xml:space="preserve">綠豆芽 豬後腿肉 大蒜   </v>
      </c>
      <c r="AK40" s="47" t="str">
        <f>S40</f>
        <v>香檸花枝丸</v>
      </c>
      <c r="AL40" s="47" t="str">
        <f>S41&amp;" "&amp;S42&amp;" "&amp;S43&amp;" "&amp;S44&amp;" "&amp;S45&amp;" "&amp;S46</f>
        <v xml:space="preserve">花枝丸 檸檬椒鹽    </v>
      </c>
      <c r="AM40" s="47" t="str">
        <f>V40</f>
        <v>時蔬</v>
      </c>
      <c r="AN40" s="47" t="str">
        <f>V41&amp;" "&amp;V42&amp;" "&amp;V43&amp;" "&amp;V44&amp;" "&amp;V45&amp;" "&amp;V46</f>
        <v xml:space="preserve">蔬菜 大蒜    </v>
      </c>
      <c r="AO40" s="47" t="str">
        <f>Y40</f>
        <v>越式湯底</v>
      </c>
      <c r="AP40" s="47" t="str">
        <f>Y41&amp;" "&amp;Y42&amp;" "&amp;Y43&amp;" "&amp;Y44&amp;" "&amp;Y45&amp;" "&amp;Y46</f>
        <v xml:space="preserve">白蘿蔔 胡蘿蔔 魚露 檸檬汁 南薑 </v>
      </c>
      <c r="AQ40" s="51" t="str">
        <f>AB40</f>
        <v>點心</v>
      </c>
      <c r="AR40" s="51">
        <f>AC40</f>
        <v>0</v>
      </c>
      <c r="AS40" s="86">
        <f t="shared" ref="AS40" si="63">C40</f>
        <v>2</v>
      </c>
      <c r="AT40" s="86">
        <f t="shared" ref="AT40" si="64">H40</f>
        <v>2.5999999999999996</v>
      </c>
      <c r="AU40" s="86">
        <f t="shared" ref="AU40" si="65">E40</f>
        <v>2</v>
      </c>
      <c r="AV40" s="86">
        <f t="shared" ref="AV40" si="66">D40</f>
        <v>2.2999999999999998</v>
      </c>
      <c r="AW40" s="86">
        <f t="shared" ref="AW40" si="67">F40</f>
        <v>0</v>
      </c>
      <c r="AX40" s="86">
        <f t="shared" ref="AX40" si="68">G40</f>
        <v>0</v>
      </c>
      <c r="AY40" s="86">
        <f t="shared" ref="AY40" si="69">I40</f>
        <v>488.5</v>
      </c>
    </row>
    <row r="41" spans="1:51" ht="16.2">
      <c r="A41" s="57"/>
      <c r="B41" s="58"/>
      <c r="C41" s="59"/>
      <c r="D41" s="59"/>
      <c r="E41" s="59"/>
      <c r="F41" s="59"/>
      <c r="G41" s="59"/>
      <c r="H41" s="59"/>
      <c r="I41" s="60"/>
      <c r="J41" s="143" t="s">
        <v>508</v>
      </c>
      <c r="K41" s="62">
        <v>6</v>
      </c>
      <c r="L41" s="145" t="str">
        <f t="shared" ref="L41:L42" si="70">IF(K41,"公斤","")</f>
        <v>公斤</v>
      </c>
      <c r="M41" s="62" t="s">
        <v>291</v>
      </c>
      <c r="N41" s="62">
        <v>6</v>
      </c>
      <c r="O41" s="145" t="str">
        <f t="shared" ref="O41" si="71">IF(N41,"公斤","")</f>
        <v>公斤</v>
      </c>
      <c r="P41" s="62" t="s">
        <v>335</v>
      </c>
      <c r="Q41" s="62">
        <v>5</v>
      </c>
      <c r="R41" s="145" t="str">
        <f t="shared" ref="R41" si="72">IF(Q41,"公斤","")</f>
        <v>公斤</v>
      </c>
      <c r="S41" s="62" t="s">
        <v>336</v>
      </c>
      <c r="T41" s="62">
        <v>2</v>
      </c>
      <c r="U41" s="145" t="str">
        <f t="shared" ref="U41" si="73">IF(T41,"公斤","")</f>
        <v>公斤</v>
      </c>
      <c r="V41" s="62" t="s">
        <v>223</v>
      </c>
      <c r="W41" s="62">
        <v>7</v>
      </c>
      <c r="X41" s="145" t="str">
        <f t="shared" ref="X41" si="74">IF(W41,"公斤","")</f>
        <v>公斤</v>
      </c>
      <c r="Y41" s="62" t="s">
        <v>290</v>
      </c>
      <c r="Z41" s="62">
        <v>4</v>
      </c>
      <c r="AA41" s="145" t="str">
        <f t="shared" ref="AA41" si="75">IF(Z41,"公斤","")</f>
        <v>公斤</v>
      </c>
      <c r="AB41" s="62" t="s">
        <v>283</v>
      </c>
      <c r="AC41" s="62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</row>
    <row r="42" spans="1:51" ht="16.2">
      <c r="A42" s="57"/>
      <c r="B42" s="218" t="s">
        <v>557</v>
      </c>
      <c r="C42" s="219">
        <f>C40</f>
        <v>2</v>
      </c>
      <c r="D42" s="219">
        <f>(E42+H42)/2</f>
        <v>2.0999999999999996</v>
      </c>
      <c r="E42" s="219">
        <f t="shared" ref="E42:G42" si="76">E40</f>
        <v>2</v>
      </c>
      <c r="F42" s="219">
        <f t="shared" si="76"/>
        <v>0</v>
      </c>
      <c r="G42" s="219">
        <f t="shared" si="76"/>
        <v>0</v>
      </c>
      <c r="H42" s="220">
        <f>H40-T41/5</f>
        <v>2.1999999999999997</v>
      </c>
      <c r="I42" s="221">
        <f>C42*70+D42*45+E42*25+H42*75+G42*60+F42*150</f>
        <v>449.5</v>
      </c>
      <c r="J42" s="61"/>
      <c r="K42" s="62"/>
      <c r="L42" s="145" t="str">
        <f t="shared" si="70"/>
        <v/>
      </c>
      <c r="M42" s="62" t="s">
        <v>289</v>
      </c>
      <c r="N42" s="62">
        <v>2</v>
      </c>
      <c r="O42" s="145" t="str">
        <f t="shared" si="15"/>
        <v>公斤</v>
      </c>
      <c r="P42" s="62" t="s">
        <v>291</v>
      </c>
      <c r="Q42" s="62">
        <v>1.7</v>
      </c>
      <c r="R42" s="145" t="str">
        <f t="shared" si="16"/>
        <v>公斤</v>
      </c>
      <c r="S42" s="62" t="s">
        <v>337</v>
      </c>
      <c r="T42" s="62"/>
      <c r="U42" s="145" t="str">
        <f t="shared" si="17"/>
        <v/>
      </c>
      <c r="V42" s="62" t="s">
        <v>9</v>
      </c>
      <c r="W42" s="62">
        <v>0.05</v>
      </c>
      <c r="X42" s="145" t="str">
        <f t="shared" si="18"/>
        <v>公斤</v>
      </c>
      <c r="Y42" s="62" t="s">
        <v>8</v>
      </c>
      <c r="Z42" s="62">
        <v>2</v>
      </c>
      <c r="AA42" s="145" t="str">
        <f t="shared" si="19"/>
        <v>公斤</v>
      </c>
      <c r="AB42" s="62"/>
      <c r="AC42" s="62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</row>
    <row r="43" spans="1:51" ht="16.2">
      <c r="A43" s="57"/>
      <c r="B43" s="58"/>
      <c r="C43" s="59"/>
      <c r="D43" s="59"/>
      <c r="E43" s="59"/>
      <c r="F43" s="59"/>
      <c r="G43" s="59"/>
      <c r="H43" s="59"/>
      <c r="I43" s="67"/>
      <c r="J43" s="61"/>
      <c r="K43" s="62"/>
      <c r="L43" s="145" t="str">
        <f t="shared" si="14"/>
        <v/>
      </c>
      <c r="M43" s="62" t="s">
        <v>9</v>
      </c>
      <c r="N43" s="62">
        <v>0.05</v>
      </c>
      <c r="O43" s="145" t="str">
        <f t="shared" si="15"/>
        <v>公斤</v>
      </c>
      <c r="P43" s="62" t="s">
        <v>9</v>
      </c>
      <c r="Q43" s="62">
        <v>0.05</v>
      </c>
      <c r="R43" s="145" t="str">
        <f t="shared" si="16"/>
        <v>公斤</v>
      </c>
      <c r="S43" s="62"/>
      <c r="T43" s="62"/>
      <c r="U43" s="145" t="str">
        <f t="shared" si="17"/>
        <v/>
      </c>
      <c r="V43" s="62"/>
      <c r="W43" s="62"/>
      <c r="X43" s="145" t="str">
        <f t="shared" si="18"/>
        <v/>
      </c>
      <c r="Y43" s="62" t="s">
        <v>338</v>
      </c>
      <c r="Z43" s="62">
        <v>0.5</v>
      </c>
      <c r="AA43" s="145" t="str">
        <f t="shared" si="19"/>
        <v>公斤</v>
      </c>
      <c r="AB43" s="62"/>
      <c r="AC43" s="62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</row>
    <row r="44" spans="1:51" ht="16.2">
      <c r="A44" s="57"/>
      <c r="B44" s="58"/>
      <c r="C44" s="59"/>
      <c r="D44" s="59"/>
      <c r="E44" s="59"/>
      <c r="F44" s="59"/>
      <c r="G44" s="59"/>
      <c r="H44" s="59"/>
      <c r="I44" s="59"/>
      <c r="J44" s="61"/>
      <c r="K44" s="62"/>
      <c r="L44" s="145" t="str">
        <f t="shared" si="14"/>
        <v/>
      </c>
      <c r="M44" s="62" t="s">
        <v>140</v>
      </c>
      <c r="N44" s="62">
        <v>0.1</v>
      </c>
      <c r="O44" s="145" t="str">
        <f t="shared" si="15"/>
        <v>公斤</v>
      </c>
      <c r="P44" s="62"/>
      <c r="Q44" s="62"/>
      <c r="R44" s="145" t="str">
        <f t="shared" si="16"/>
        <v/>
      </c>
      <c r="S44" s="62"/>
      <c r="T44" s="62"/>
      <c r="U44" s="145" t="str">
        <f t="shared" si="17"/>
        <v/>
      </c>
      <c r="V44" s="62"/>
      <c r="W44" s="62"/>
      <c r="X44" s="145" t="str">
        <f t="shared" si="18"/>
        <v/>
      </c>
      <c r="Y44" s="62" t="s">
        <v>339</v>
      </c>
      <c r="Z44" s="62">
        <v>0.1</v>
      </c>
      <c r="AA44" s="145" t="str">
        <f t="shared" si="19"/>
        <v>公斤</v>
      </c>
      <c r="AB44" s="62"/>
      <c r="AC44" s="62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</row>
    <row r="45" spans="1:51" ht="16.2">
      <c r="A45" s="57"/>
      <c r="B45" s="58"/>
      <c r="C45" s="59"/>
      <c r="D45" s="59"/>
      <c r="E45" s="59"/>
      <c r="F45" s="59"/>
      <c r="G45" s="59"/>
      <c r="H45" s="59"/>
      <c r="I45" s="59"/>
      <c r="J45" s="61"/>
      <c r="K45" s="62"/>
      <c r="L45" s="145" t="str">
        <f t="shared" si="14"/>
        <v/>
      </c>
      <c r="M45" s="62"/>
      <c r="N45" s="62"/>
      <c r="O45" s="145" t="str">
        <f t="shared" si="15"/>
        <v/>
      </c>
      <c r="P45" s="62"/>
      <c r="Q45" s="62"/>
      <c r="R45" s="145" t="str">
        <f t="shared" si="16"/>
        <v/>
      </c>
      <c r="S45" s="62"/>
      <c r="T45" s="62"/>
      <c r="U45" s="145" t="str">
        <f t="shared" si="17"/>
        <v/>
      </c>
      <c r="V45" s="62"/>
      <c r="W45" s="62"/>
      <c r="X45" s="145" t="str">
        <f t="shared" si="18"/>
        <v/>
      </c>
      <c r="Y45" s="62" t="s">
        <v>340</v>
      </c>
      <c r="Z45" s="62"/>
      <c r="AA45" s="145" t="str">
        <f t="shared" si="19"/>
        <v/>
      </c>
      <c r="AB45" s="62"/>
      <c r="AC45" s="62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</row>
    <row r="46" spans="1:51" ht="16.8" thickBot="1">
      <c r="A46" s="71"/>
      <c r="B46" s="72"/>
      <c r="C46" s="73"/>
      <c r="D46" s="73"/>
      <c r="E46" s="73"/>
      <c r="F46" s="73"/>
      <c r="G46" s="73"/>
      <c r="H46" s="73"/>
      <c r="I46" s="73"/>
      <c r="J46" s="74"/>
      <c r="K46" s="75"/>
      <c r="L46" s="145" t="str">
        <f t="shared" si="14"/>
        <v/>
      </c>
      <c r="M46" s="75"/>
      <c r="N46" s="75"/>
      <c r="O46" s="145" t="str">
        <f t="shared" si="15"/>
        <v/>
      </c>
      <c r="P46" s="75"/>
      <c r="Q46" s="75"/>
      <c r="R46" s="145" t="str">
        <f t="shared" si="16"/>
        <v/>
      </c>
      <c r="S46" s="75"/>
      <c r="T46" s="75"/>
      <c r="U46" s="145" t="str">
        <f t="shared" si="17"/>
        <v/>
      </c>
      <c r="V46" s="75"/>
      <c r="W46" s="75"/>
      <c r="X46" s="145" t="str">
        <f t="shared" si="18"/>
        <v/>
      </c>
      <c r="Y46" s="75"/>
      <c r="Z46" s="75"/>
      <c r="AA46" s="145" t="str">
        <f t="shared" si="19"/>
        <v/>
      </c>
      <c r="AB46" s="75"/>
      <c r="AC46" s="75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</row>
    <row r="47" spans="1:51" ht="16.2">
      <c r="A47" s="52" t="s">
        <v>11</v>
      </c>
      <c r="B47" s="53" t="s">
        <v>276</v>
      </c>
      <c r="C47" s="54">
        <f>K48/2+K49/2+Q48/1.5</f>
        <v>5.8</v>
      </c>
      <c r="D47" s="54">
        <f>(E47+H47)/2</f>
        <v>2.7273809523809529</v>
      </c>
      <c r="E47" s="54">
        <f>E49+T50/10</f>
        <v>1.9500000000000002</v>
      </c>
      <c r="F47" s="54">
        <v>0</v>
      </c>
      <c r="G47" s="54">
        <v>0</v>
      </c>
      <c r="H47" s="54">
        <f>H49+T48/5.5+T49/4.5</f>
        <v>3.5047619047619052</v>
      </c>
      <c r="I47" s="54">
        <f>C47*70+D47*45+E47*25+H47*75+G47*60+F47*150</f>
        <v>840.33928571428578</v>
      </c>
      <c r="J47" s="77" t="s">
        <v>295</v>
      </c>
      <c r="K47" s="78"/>
      <c r="L47" s="66"/>
      <c r="M47" s="77" t="s">
        <v>341</v>
      </c>
      <c r="N47" s="78"/>
      <c r="O47" s="66"/>
      <c r="P47" s="77" t="s">
        <v>342</v>
      </c>
      <c r="Q47" s="78"/>
      <c r="R47" s="66"/>
      <c r="S47" s="55" t="s">
        <v>343</v>
      </c>
      <c r="T47" s="56"/>
      <c r="U47" s="66"/>
      <c r="V47" s="77" t="s">
        <v>92</v>
      </c>
      <c r="W47" s="78"/>
      <c r="X47" s="89"/>
      <c r="Y47" s="77" t="s">
        <v>344</v>
      </c>
      <c r="Z47" s="78"/>
      <c r="AA47" s="91"/>
      <c r="AB47" s="79" t="s">
        <v>283</v>
      </c>
      <c r="AC47" s="80"/>
      <c r="AD47" s="51" t="str">
        <f>A47</f>
        <v>B4</v>
      </c>
      <c r="AE47" s="47" t="str">
        <f>J47</f>
        <v>糙米飯</v>
      </c>
      <c r="AF47" s="47" t="str">
        <f>J48&amp;" "&amp;J49&amp;" "&amp;J50&amp;" "&amp;J51&amp;" "&amp;J52&amp;" "&amp;J53</f>
        <v xml:space="preserve">米 糙米    </v>
      </c>
      <c r="AG47" s="47" t="str">
        <f>M47</f>
        <v>沙茶魷魚</v>
      </c>
      <c r="AH47" s="47" t="str">
        <f>M48&amp;" "&amp;M49&amp;" "&amp;M50&amp;" "&amp;M51&amp;" "&amp;M52&amp;" "&amp;M53</f>
        <v>魷魚圈 豬後腿肉 脆筍 沙茶醬 胡蘿蔔 大蒜</v>
      </c>
      <c r="AI47" s="47" t="str">
        <f>P47</f>
        <v>螞蟻上樹</v>
      </c>
      <c r="AJ47" s="47" t="str">
        <f>P48&amp;" "&amp;P49&amp;" "&amp;P50&amp;" "&amp;P51&amp;" "&amp;P52&amp;" "&amp;P53</f>
        <v xml:space="preserve">冬粉 豬絞肉 時蔬 胡蘿蔔 乾木耳 </v>
      </c>
      <c r="AK47" s="47" t="str">
        <f>S47</f>
        <v>火腿炒蛋</v>
      </c>
      <c r="AL47" s="47" t="str">
        <f>S48&amp;" "&amp;S49&amp;" "&amp;S50&amp;" "&amp;S51&amp;" "&amp;S52&amp;" "&amp;S53</f>
        <v xml:space="preserve">雞蛋 切片火腿(豬肉) 洋蔥 大蒜  </v>
      </c>
      <c r="AM47" s="47" t="str">
        <f>V47</f>
        <v>時蔬</v>
      </c>
      <c r="AN47" s="47" t="str">
        <f>V48&amp;" "&amp;V49&amp;" "&amp;V50&amp;" "&amp;V51&amp;" "&amp;V52&amp;" "&amp;V53</f>
        <v xml:space="preserve">蔬菜 大蒜    </v>
      </c>
      <c r="AO47" s="47" t="str">
        <f>Y47</f>
        <v>銀耳甜湯</v>
      </c>
      <c r="AP47" s="47" t="str">
        <f>Y48&amp;" "&amp;Y49&amp;" "&amp;Y50&amp;" "&amp;Y51&amp;" "&amp;Y52&amp;" "&amp;Y53</f>
        <v xml:space="preserve">乾銀耳 紅砂糖 枸杞   </v>
      </c>
      <c r="AQ47" s="51" t="str">
        <f>AB47</f>
        <v>點心</v>
      </c>
      <c r="AR47" s="51">
        <f>AC47</f>
        <v>0</v>
      </c>
      <c r="AS47" s="86">
        <f t="shared" ref="AS47" si="77">C47</f>
        <v>5.8</v>
      </c>
      <c r="AT47" s="86">
        <f t="shared" ref="AT47" si="78">H47</f>
        <v>3.5047619047619052</v>
      </c>
      <c r="AU47" s="86">
        <f t="shared" ref="AU47" si="79">E47</f>
        <v>1.9500000000000002</v>
      </c>
      <c r="AV47" s="86">
        <f t="shared" ref="AV47" si="80">D47</f>
        <v>2.7273809523809529</v>
      </c>
      <c r="AW47" s="86">
        <f t="shared" ref="AW47" si="81">F47</f>
        <v>0</v>
      </c>
      <c r="AX47" s="86">
        <f t="shared" ref="AX47" si="82">G47</f>
        <v>0</v>
      </c>
      <c r="AY47" s="86">
        <f t="shared" ref="AY47" si="83">I47</f>
        <v>840.33928571428578</v>
      </c>
    </row>
    <row r="48" spans="1:51" ht="16.2">
      <c r="A48" s="57"/>
      <c r="B48" s="58"/>
      <c r="C48" s="59"/>
      <c r="D48" s="59"/>
      <c r="E48" s="59"/>
      <c r="F48" s="59"/>
      <c r="G48" s="59"/>
      <c r="H48" s="59"/>
      <c r="I48" s="60"/>
      <c r="J48" s="61" t="s">
        <v>284</v>
      </c>
      <c r="K48" s="62">
        <v>7</v>
      </c>
      <c r="L48" s="145" t="str">
        <f t="shared" ref="L48:L49" si="84">IF(K48,"公斤","")</f>
        <v>公斤</v>
      </c>
      <c r="M48" s="62" t="s">
        <v>345</v>
      </c>
      <c r="N48" s="62">
        <v>3.5</v>
      </c>
      <c r="O48" s="145" t="str">
        <f t="shared" ref="O48" si="85">IF(N48,"公斤","")</f>
        <v>公斤</v>
      </c>
      <c r="P48" s="62" t="s">
        <v>346</v>
      </c>
      <c r="Q48" s="62">
        <v>1.2</v>
      </c>
      <c r="R48" s="145" t="str">
        <f t="shared" ref="R48" si="86">IF(Q48,"公斤","")</f>
        <v>公斤</v>
      </c>
      <c r="S48" s="64" t="s">
        <v>28</v>
      </c>
      <c r="T48" s="64">
        <v>5.5</v>
      </c>
      <c r="U48" s="145" t="str">
        <f t="shared" ref="U48" si="87">IF(T48,"公斤","")</f>
        <v>公斤</v>
      </c>
      <c r="V48" s="62" t="s">
        <v>223</v>
      </c>
      <c r="W48" s="62">
        <v>7</v>
      </c>
      <c r="X48" s="145" t="str">
        <f t="shared" ref="X48" si="88">IF(W48,"公斤","")</f>
        <v>公斤</v>
      </c>
      <c r="Y48" s="62" t="s">
        <v>32</v>
      </c>
      <c r="Z48" s="62">
        <v>0.3</v>
      </c>
      <c r="AA48" s="145" t="str">
        <f t="shared" ref="AA48" si="89">IF(Z48,"公斤","")</f>
        <v>公斤</v>
      </c>
      <c r="AB48" s="62" t="s">
        <v>283</v>
      </c>
      <c r="AC48" s="62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</row>
    <row r="49" spans="1:51" ht="16.2">
      <c r="A49" s="57"/>
      <c r="B49" s="218" t="s">
        <v>557</v>
      </c>
      <c r="C49" s="219">
        <f>C47</f>
        <v>5.8</v>
      </c>
      <c r="D49" s="219">
        <f>(E49+H49)/2</f>
        <v>1.8857142857142859</v>
      </c>
      <c r="E49" s="219">
        <f>(N50+N52+Q50+Q51+W48+Z48*5)/10</f>
        <v>1.6</v>
      </c>
      <c r="F49" s="219">
        <f t="shared" ref="F49:G49" si="90">F47</f>
        <v>0</v>
      </c>
      <c r="G49" s="219">
        <f t="shared" si="90"/>
        <v>0</v>
      </c>
      <c r="H49" s="220">
        <f>N48/3.5+N49/3.5+Q49/3.5</f>
        <v>2.1714285714285717</v>
      </c>
      <c r="I49" s="221">
        <f>C49*70+D49*45+E49*25+H49*75+G49*60+F49*150</f>
        <v>693.71428571428578</v>
      </c>
      <c r="J49" s="61" t="s">
        <v>287</v>
      </c>
      <c r="K49" s="62">
        <v>3</v>
      </c>
      <c r="L49" s="145" t="str">
        <f t="shared" si="84"/>
        <v>公斤</v>
      </c>
      <c r="M49" s="62" t="s">
        <v>291</v>
      </c>
      <c r="N49" s="62">
        <v>3</v>
      </c>
      <c r="O49" s="145" t="str">
        <f t="shared" si="15"/>
        <v>公斤</v>
      </c>
      <c r="P49" s="62" t="s">
        <v>300</v>
      </c>
      <c r="Q49" s="62">
        <v>1.1000000000000001</v>
      </c>
      <c r="R49" s="145" t="str">
        <f t="shared" si="16"/>
        <v>公斤</v>
      </c>
      <c r="S49" s="62" t="s">
        <v>347</v>
      </c>
      <c r="T49" s="62">
        <v>1.5</v>
      </c>
      <c r="U49" s="145" t="str">
        <f t="shared" si="17"/>
        <v>公斤</v>
      </c>
      <c r="V49" s="62" t="s">
        <v>9</v>
      </c>
      <c r="W49" s="62">
        <v>0.05</v>
      </c>
      <c r="X49" s="145" t="str">
        <f t="shared" si="18"/>
        <v>公斤</v>
      </c>
      <c r="Y49" s="62" t="s">
        <v>77</v>
      </c>
      <c r="Z49" s="62">
        <v>1</v>
      </c>
      <c r="AA49" s="145" t="str">
        <f t="shared" si="19"/>
        <v>公斤</v>
      </c>
      <c r="AB49" s="62"/>
      <c r="AC49" s="62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</row>
    <row r="50" spans="1:51" ht="16.2">
      <c r="A50" s="57"/>
      <c r="B50" s="218"/>
      <c r="C50" s="219"/>
      <c r="D50" s="219"/>
      <c r="E50" s="219"/>
      <c r="F50" s="219"/>
      <c r="G50" s="219"/>
      <c r="H50" s="219"/>
      <c r="I50" s="222"/>
      <c r="J50" s="61"/>
      <c r="K50" s="62"/>
      <c r="L50" s="145" t="str">
        <f t="shared" si="14"/>
        <v/>
      </c>
      <c r="M50" s="62" t="s">
        <v>348</v>
      </c>
      <c r="N50" s="62">
        <v>3</v>
      </c>
      <c r="O50" s="145" t="str">
        <f t="shared" si="15"/>
        <v>公斤</v>
      </c>
      <c r="P50" s="62" t="s">
        <v>92</v>
      </c>
      <c r="Q50" s="62">
        <v>3</v>
      </c>
      <c r="R50" s="145" t="str">
        <f t="shared" si="16"/>
        <v>公斤</v>
      </c>
      <c r="S50" s="64" t="s">
        <v>7</v>
      </c>
      <c r="T50" s="64">
        <v>3.5</v>
      </c>
      <c r="U50" s="145" t="str">
        <f t="shared" si="17"/>
        <v>公斤</v>
      </c>
      <c r="V50" s="62"/>
      <c r="W50" s="62"/>
      <c r="X50" s="145" t="str">
        <f t="shared" si="18"/>
        <v/>
      </c>
      <c r="Y50" s="62" t="s">
        <v>179</v>
      </c>
      <c r="Z50" s="62">
        <v>0.01</v>
      </c>
      <c r="AA50" s="145" t="str">
        <f t="shared" si="19"/>
        <v>公斤</v>
      </c>
      <c r="AB50" s="62"/>
      <c r="AC50" s="62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</row>
    <row r="51" spans="1:51" ht="16.2">
      <c r="A51" s="57"/>
      <c r="B51" s="58"/>
      <c r="C51" s="59"/>
      <c r="D51" s="59"/>
      <c r="E51" s="59"/>
      <c r="F51" s="59"/>
      <c r="G51" s="59"/>
      <c r="H51" s="59"/>
      <c r="I51" s="59"/>
      <c r="J51" s="61"/>
      <c r="K51" s="62"/>
      <c r="L51" s="145" t="str">
        <f t="shared" si="14"/>
        <v/>
      </c>
      <c r="M51" s="62" t="s">
        <v>317</v>
      </c>
      <c r="N51" s="62">
        <v>0.1</v>
      </c>
      <c r="O51" s="145" t="str">
        <f t="shared" si="15"/>
        <v>公斤</v>
      </c>
      <c r="P51" s="62" t="s">
        <v>8</v>
      </c>
      <c r="Q51" s="62">
        <v>1</v>
      </c>
      <c r="R51" s="145" t="str">
        <f t="shared" si="16"/>
        <v>公斤</v>
      </c>
      <c r="S51" s="64" t="s">
        <v>9</v>
      </c>
      <c r="T51" s="64">
        <v>0.05</v>
      </c>
      <c r="U51" s="145" t="str">
        <f t="shared" si="17"/>
        <v>公斤</v>
      </c>
      <c r="V51" s="62"/>
      <c r="W51" s="62"/>
      <c r="X51" s="145" t="str">
        <f t="shared" si="18"/>
        <v/>
      </c>
      <c r="Y51" s="62"/>
      <c r="Z51" s="62"/>
      <c r="AA51" s="145" t="str">
        <f t="shared" si="19"/>
        <v/>
      </c>
      <c r="AB51" s="62"/>
      <c r="AC51" s="62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</row>
    <row r="52" spans="1:51" ht="16.2">
      <c r="A52" s="57"/>
      <c r="B52" s="58"/>
      <c r="C52" s="59"/>
      <c r="D52" s="59"/>
      <c r="E52" s="59"/>
      <c r="F52" s="59"/>
      <c r="G52" s="59"/>
      <c r="H52" s="59"/>
      <c r="I52" s="59"/>
      <c r="J52" s="61"/>
      <c r="K52" s="62"/>
      <c r="L52" s="145" t="str">
        <f t="shared" si="14"/>
        <v/>
      </c>
      <c r="M52" s="62" t="s">
        <v>8</v>
      </c>
      <c r="N52" s="62">
        <v>0.5</v>
      </c>
      <c r="O52" s="145" t="str">
        <f t="shared" si="15"/>
        <v>公斤</v>
      </c>
      <c r="P52" s="62" t="s">
        <v>95</v>
      </c>
      <c r="Q52" s="62">
        <v>0.01</v>
      </c>
      <c r="R52" s="145" t="str">
        <f t="shared" si="16"/>
        <v>公斤</v>
      </c>
      <c r="S52" s="64"/>
      <c r="T52" s="64"/>
      <c r="U52" s="145" t="str">
        <f t="shared" si="17"/>
        <v/>
      </c>
      <c r="V52" s="62"/>
      <c r="W52" s="62"/>
      <c r="X52" s="145" t="str">
        <f t="shared" si="18"/>
        <v/>
      </c>
      <c r="Y52" s="62"/>
      <c r="Z52" s="62"/>
      <c r="AA52" s="145" t="str">
        <f t="shared" si="19"/>
        <v/>
      </c>
      <c r="AB52" s="62"/>
      <c r="AC52" s="62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</row>
    <row r="53" spans="1:51" ht="16.8" thickBot="1">
      <c r="A53" s="71"/>
      <c r="B53" s="72"/>
      <c r="C53" s="73"/>
      <c r="D53" s="73"/>
      <c r="E53" s="73"/>
      <c r="F53" s="73"/>
      <c r="G53" s="73"/>
      <c r="H53" s="73"/>
      <c r="I53" s="73"/>
      <c r="J53" s="74"/>
      <c r="K53" s="75"/>
      <c r="L53" s="145" t="str">
        <f t="shared" si="14"/>
        <v/>
      </c>
      <c r="M53" s="75" t="s">
        <v>9</v>
      </c>
      <c r="N53" s="75">
        <v>0.05</v>
      </c>
      <c r="O53" s="145" t="str">
        <f t="shared" si="15"/>
        <v>公斤</v>
      </c>
      <c r="P53" s="75"/>
      <c r="Q53" s="75"/>
      <c r="R53" s="145" t="str">
        <f t="shared" si="16"/>
        <v/>
      </c>
      <c r="S53" s="75"/>
      <c r="T53" s="75"/>
      <c r="U53" s="145" t="str">
        <f t="shared" si="17"/>
        <v/>
      </c>
      <c r="V53" s="75"/>
      <c r="W53" s="75"/>
      <c r="X53" s="145" t="str">
        <f t="shared" si="18"/>
        <v/>
      </c>
      <c r="Y53" s="75"/>
      <c r="Z53" s="75"/>
      <c r="AA53" s="145" t="str">
        <f t="shared" si="19"/>
        <v/>
      </c>
      <c r="AB53" s="75"/>
      <c r="AC53" s="75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</row>
    <row r="54" spans="1:51" ht="16.2">
      <c r="A54" s="52" t="s">
        <v>12</v>
      </c>
      <c r="B54" s="53" t="s">
        <v>276</v>
      </c>
      <c r="C54" s="54">
        <f>K55/2+K56/2+T56/9</f>
        <v>5.3666666666666671</v>
      </c>
      <c r="D54" s="54">
        <f>(E54+H54)/2</f>
        <v>2.5921428571428571</v>
      </c>
      <c r="E54" s="54">
        <f>E56+(T56+T57)/10</f>
        <v>2.37</v>
      </c>
      <c r="F54" s="54">
        <v>0</v>
      </c>
      <c r="G54" s="54">
        <v>0</v>
      </c>
      <c r="H54" s="54">
        <f>H56+T55/4</f>
        <v>2.8142857142857141</v>
      </c>
      <c r="I54" s="54">
        <f>C54*70+D54*45+E54*25+H54*75+G54*60+F54*150</f>
        <v>762.63452380952378</v>
      </c>
      <c r="J54" s="77" t="s">
        <v>349</v>
      </c>
      <c r="K54" s="78"/>
      <c r="L54" s="66"/>
      <c r="M54" s="77" t="s">
        <v>350</v>
      </c>
      <c r="N54" s="78"/>
      <c r="O54" s="66"/>
      <c r="P54" s="55" t="s">
        <v>134</v>
      </c>
      <c r="Q54" s="56"/>
      <c r="R54" s="66"/>
      <c r="S54" s="55" t="s">
        <v>351</v>
      </c>
      <c r="T54" s="78"/>
      <c r="U54" s="66"/>
      <c r="V54" s="77" t="s">
        <v>92</v>
      </c>
      <c r="W54" s="78"/>
      <c r="X54" s="89"/>
      <c r="Y54" s="77" t="s">
        <v>352</v>
      </c>
      <c r="Z54" s="78"/>
      <c r="AA54" s="91"/>
      <c r="AB54" s="79" t="s">
        <v>283</v>
      </c>
      <c r="AC54" s="91" t="s">
        <v>56</v>
      </c>
      <c r="AD54" s="51" t="str">
        <f>A54</f>
        <v>B5</v>
      </c>
      <c r="AE54" s="47" t="str">
        <f>J54</f>
        <v>小米飯</v>
      </c>
      <c r="AF54" s="47" t="str">
        <f>J55&amp;" "&amp;J56&amp;" "&amp;J57&amp;" "&amp;J58&amp;" "&amp;J59&amp;" "&amp;J60</f>
        <v xml:space="preserve">米 小米    </v>
      </c>
      <c r="AG54" s="47" t="str">
        <f>M54</f>
        <v>京醬肉絲</v>
      </c>
      <c r="AH54" s="47" t="str">
        <f>M55&amp;" "&amp;M56&amp;" "&amp;M57&amp;" "&amp;M58&amp;" "&amp;M59&amp;" "&amp;M60</f>
        <v xml:space="preserve">豬後腿肉 時蔬 胡蘿蔔 甜麵醬  </v>
      </c>
      <c r="AI54" s="47" t="str">
        <f>P54</f>
        <v>塔香鮑菇</v>
      </c>
      <c r="AJ54" s="47" t="str">
        <f>P55&amp;" "&amp;P56&amp;" "&amp;P57&amp;" "&amp;P58&amp;" "&amp;P59&amp;" "&amp;P60</f>
        <v xml:space="preserve">杏鮑菇 薑 九層塔   </v>
      </c>
      <c r="AK54" s="47" t="str">
        <f>S54</f>
        <v>韮香干片</v>
      </c>
      <c r="AL54" s="47" t="str">
        <f>S55&amp;" "&amp;S56&amp;" "&amp;S57&amp;" "&amp;S58&amp;" "&amp;S59&amp;" "&amp;S60</f>
        <v xml:space="preserve">豆干 韮菜 胡蘿蔔 大蒜  </v>
      </c>
      <c r="AM54" s="47" t="str">
        <f>V54</f>
        <v>時蔬</v>
      </c>
      <c r="AN54" s="47" t="str">
        <f>V55&amp;" "&amp;V56&amp;" "&amp;V57&amp;" "&amp;V58&amp;" "&amp;V59&amp;" "&amp;V60</f>
        <v xml:space="preserve">蔬菜 大蒜    </v>
      </c>
      <c r="AO54" s="47" t="str">
        <f>Y54</f>
        <v>冬瓜大骨湯</v>
      </c>
      <c r="AP54" s="47" t="str">
        <f>Y55&amp;" "&amp;Y56&amp;" "&amp;Y57&amp;" "&amp;Y58&amp;" "&amp;Y59&amp;" "&amp;Y60</f>
        <v xml:space="preserve">冬瓜 大骨 薑   </v>
      </c>
      <c r="AQ54" s="51" t="str">
        <f>AB54</f>
        <v>點心</v>
      </c>
      <c r="AR54" s="51" t="str">
        <f>AC54</f>
        <v>有機豆奶</v>
      </c>
      <c r="AS54" s="86">
        <f t="shared" ref="AS54" si="91">C54</f>
        <v>5.3666666666666671</v>
      </c>
      <c r="AT54" s="86">
        <f t="shared" ref="AT54" si="92">H54</f>
        <v>2.8142857142857141</v>
      </c>
      <c r="AU54" s="86">
        <f t="shared" ref="AU54" si="93">E54</f>
        <v>2.37</v>
      </c>
      <c r="AV54" s="86">
        <f t="shared" ref="AV54" si="94">D54</f>
        <v>2.5921428571428571</v>
      </c>
      <c r="AW54" s="86">
        <f t="shared" ref="AW54" si="95">F54</f>
        <v>0</v>
      </c>
      <c r="AX54" s="86">
        <f t="shared" ref="AX54" si="96">G54</f>
        <v>0</v>
      </c>
      <c r="AY54" s="86">
        <f t="shared" ref="AY54" si="97">I54</f>
        <v>762.63452380952378</v>
      </c>
    </row>
    <row r="55" spans="1:51" ht="16.2">
      <c r="A55" s="57"/>
      <c r="B55" s="58"/>
      <c r="C55" s="59"/>
      <c r="D55" s="59"/>
      <c r="E55" s="59"/>
      <c r="F55" s="59"/>
      <c r="G55" s="59"/>
      <c r="H55" s="59"/>
      <c r="I55" s="60"/>
      <c r="J55" s="61" t="s">
        <v>284</v>
      </c>
      <c r="K55" s="62">
        <v>10</v>
      </c>
      <c r="L55" s="145" t="str">
        <f t="shared" ref="L55:L56" si="98">IF(K55,"公斤","")</f>
        <v>公斤</v>
      </c>
      <c r="M55" s="62" t="s">
        <v>291</v>
      </c>
      <c r="N55" s="62">
        <v>6</v>
      </c>
      <c r="O55" s="145" t="str">
        <f t="shared" ref="O55" si="99">IF(N55,"公斤","")</f>
        <v>公斤</v>
      </c>
      <c r="P55" s="64" t="s">
        <v>137</v>
      </c>
      <c r="Q55" s="64">
        <v>6</v>
      </c>
      <c r="R55" s="145" t="str">
        <f t="shared" ref="R55" si="100">IF(Q55,"公斤","")</f>
        <v>公斤</v>
      </c>
      <c r="S55" s="64" t="s">
        <v>324</v>
      </c>
      <c r="T55" s="64">
        <v>4</v>
      </c>
      <c r="U55" s="145" t="str">
        <f t="shared" ref="U55" si="101">IF(T55,"公斤","")</f>
        <v>公斤</v>
      </c>
      <c r="V55" s="62" t="s">
        <v>223</v>
      </c>
      <c r="W55" s="62">
        <v>7</v>
      </c>
      <c r="X55" s="145" t="str">
        <f t="shared" ref="X55" si="102">IF(W55,"公斤","")</f>
        <v>公斤</v>
      </c>
      <c r="Y55" s="62" t="s">
        <v>353</v>
      </c>
      <c r="Z55" s="62">
        <v>5</v>
      </c>
      <c r="AA55" s="145" t="str">
        <f t="shared" ref="AA55" si="103">IF(Z55,"公斤","")</f>
        <v>公斤</v>
      </c>
      <c r="AB55" s="62" t="s">
        <v>283</v>
      </c>
      <c r="AC55" s="62" t="s">
        <v>56</v>
      </c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</row>
    <row r="56" spans="1:51" ht="16.2">
      <c r="A56" s="57"/>
      <c r="B56" s="218" t="s">
        <v>557</v>
      </c>
      <c r="C56" s="219">
        <f>C54-T56/9</f>
        <v>5.2</v>
      </c>
      <c r="D56" s="219">
        <f>(E56+H56)/2</f>
        <v>1.992142857142857</v>
      </c>
      <c r="E56" s="219">
        <f>(N56+N57+Q55+Q57+W55+Z55)/10</f>
        <v>2.17</v>
      </c>
      <c r="F56" s="219">
        <f t="shared" ref="F56:G56" si="104">F54</f>
        <v>0</v>
      </c>
      <c r="G56" s="219">
        <f t="shared" si="104"/>
        <v>0</v>
      </c>
      <c r="H56" s="220">
        <f>N55/3.5+0.1</f>
        <v>1.8142857142857143</v>
      </c>
      <c r="I56" s="221">
        <f>C56*70+D56*45+E56*25+H56*75+G56*60+F56*150</f>
        <v>643.96785714285716</v>
      </c>
      <c r="J56" s="61" t="s">
        <v>354</v>
      </c>
      <c r="K56" s="62">
        <v>0.4</v>
      </c>
      <c r="L56" s="145" t="str">
        <f t="shared" si="98"/>
        <v>公斤</v>
      </c>
      <c r="M56" s="62" t="s">
        <v>92</v>
      </c>
      <c r="N56" s="62">
        <v>3</v>
      </c>
      <c r="O56" s="145" t="str">
        <f t="shared" si="15"/>
        <v>公斤</v>
      </c>
      <c r="P56" s="64" t="s">
        <v>117</v>
      </c>
      <c r="Q56" s="64">
        <v>0.05</v>
      </c>
      <c r="R56" s="145" t="str">
        <f t="shared" si="16"/>
        <v>公斤</v>
      </c>
      <c r="S56" s="81" t="s">
        <v>355</v>
      </c>
      <c r="T56" s="64">
        <v>1.5</v>
      </c>
      <c r="U56" s="145" t="str">
        <f t="shared" si="17"/>
        <v>公斤</v>
      </c>
      <c r="V56" s="62" t="s">
        <v>9</v>
      </c>
      <c r="W56" s="62">
        <v>0.05</v>
      </c>
      <c r="X56" s="145" t="str">
        <f t="shared" si="18"/>
        <v>公斤</v>
      </c>
      <c r="Y56" s="64" t="s">
        <v>311</v>
      </c>
      <c r="Z56" s="64">
        <v>1</v>
      </c>
      <c r="AA56" s="145" t="str">
        <f t="shared" si="19"/>
        <v>公斤</v>
      </c>
      <c r="AB56" s="62"/>
      <c r="AC56" s="62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</row>
    <row r="57" spans="1:51" ht="16.2">
      <c r="A57" s="57"/>
      <c r="B57" s="58"/>
      <c r="C57" s="59"/>
      <c r="D57" s="59"/>
      <c r="E57" s="59"/>
      <c r="F57" s="59"/>
      <c r="G57" s="59"/>
      <c r="H57" s="59"/>
      <c r="I57" s="67"/>
      <c r="J57" s="61"/>
      <c r="K57" s="62"/>
      <c r="L57" s="145" t="str">
        <f t="shared" si="14"/>
        <v/>
      </c>
      <c r="M57" s="62" t="s">
        <v>8</v>
      </c>
      <c r="N57" s="62">
        <v>0.5</v>
      </c>
      <c r="O57" s="145" t="str">
        <f t="shared" si="15"/>
        <v>公斤</v>
      </c>
      <c r="P57" s="64" t="s">
        <v>140</v>
      </c>
      <c r="Q57" s="64">
        <v>0.2</v>
      </c>
      <c r="R57" s="145" t="str">
        <f t="shared" si="16"/>
        <v>公斤</v>
      </c>
      <c r="S57" s="64" t="s">
        <v>8</v>
      </c>
      <c r="T57" s="64">
        <v>0.5</v>
      </c>
      <c r="U57" s="145" t="str">
        <f t="shared" si="17"/>
        <v>公斤</v>
      </c>
      <c r="V57" s="62"/>
      <c r="W57" s="62"/>
      <c r="X57" s="145" t="str">
        <f t="shared" si="18"/>
        <v/>
      </c>
      <c r="Y57" s="62" t="s">
        <v>117</v>
      </c>
      <c r="Z57" s="62">
        <v>0.05</v>
      </c>
      <c r="AA57" s="145" t="str">
        <f t="shared" si="19"/>
        <v>公斤</v>
      </c>
      <c r="AB57" s="62"/>
      <c r="AC57" s="62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</row>
    <row r="58" spans="1:51" ht="16.2">
      <c r="A58" s="57"/>
      <c r="B58" s="58"/>
      <c r="C58" s="59"/>
      <c r="D58" s="59"/>
      <c r="E58" s="59"/>
      <c r="F58" s="59"/>
      <c r="G58" s="59"/>
      <c r="H58" s="59"/>
      <c r="I58" s="59"/>
      <c r="J58" s="61"/>
      <c r="K58" s="62"/>
      <c r="L58" s="145" t="str">
        <f t="shared" si="14"/>
        <v/>
      </c>
      <c r="M58" s="62" t="s">
        <v>356</v>
      </c>
      <c r="N58" s="62">
        <v>0.5</v>
      </c>
      <c r="O58" s="145" t="str">
        <f t="shared" si="15"/>
        <v>公斤</v>
      </c>
      <c r="P58" s="82"/>
      <c r="Q58" s="82"/>
      <c r="R58" s="145" t="str">
        <f t="shared" si="16"/>
        <v/>
      </c>
      <c r="S58" s="64" t="s">
        <v>9</v>
      </c>
      <c r="T58" s="64">
        <v>0.05</v>
      </c>
      <c r="U58" s="145" t="str">
        <f t="shared" si="17"/>
        <v>公斤</v>
      </c>
      <c r="V58" s="62"/>
      <c r="W58" s="62"/>
      <c r="X58" s="145" t="str">
        <f t="shared" si="18"/>
        <v/>
      </c>
      <c r="Y58" s="62"/>
      <c r="Z58" s="62"/>
      <c r="AA58" s="145" t="str">
        <f t="shared" si="19"/>
        <v/>
      </c>
      <c r="AB58" s="62"/>
      <c r="AC58" s="62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</row>
    <row r="59" spans="1:51" ht="16.2">
      <c r="A59" s="57"/>
      <c r="B59" s="58"/>
      <c r="C59" s="59"/>
      <c r="D59" s="59"/>
      <c r="E59" s="59"/>
      <c r="F59" s="59"/>
      <c r="G59" s="59"/>
      <c r="H59" s="59"/>
      <c r="I59" s="59"/>
      <c r="J59" s="61"/>
      <c r="K59" s="62"/>
      <c r="L59" s="145" t="str">
        <f t="shared" si="14"/>
        <v/>
      </c>
      <c r="M59" s="62"/>
      <c r="N59" s="62"/>
      <c r="O59" s="145" t="str">
        <f t="shared" si="15"/>
        <v/>
      </c>
      <c r="P59" s="62"/>
      <c r="Q59" s="62"/>
      <c r="R59" s="145" t="str">
        <f t="shared" si="16"/>
        <v/>
      </c>
      <c r="S59" s="64"/>
      <c r="T59" s="64"/>
      <c r="U59" s="145" t="str">
        <f t="shared" si="17"/>
        <v/>
      </c>
      <c r="V59" s="62"/>
      <c r="W59" s="62"/>
      <c r="X59" s="145" t="str">
        <f t="shared" si="18"/>
        <v/>
      </c>
      <c r="Y59" s="62"/>
      <c r="Z59" s="62"/>
      <c r="AA59" s="145" t="str">
        <f t="shared" si="19"/>
        <v/>
      </c>
      <c r="AB59" s="62"/>
      <c r="AC59" s="62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</row>
    <row r="60" spans="1:51" ht="16.8" thickBot="1">
      <c r="A60" s="71"/>
      <c r="B60" s="72"/>
      <c r="C60" s="73"/>
      <c r="D60" s="73"/>
      <c r="E60" s="73"/>
      <c r="F60" s="73"/>
      <c r="G60" s="73"/>
      <c r="H60" s="73"/>
      <c r="I60" s="73"/>
      <c r="J60" s="74"/>
      <c r="K60" s="75"/>
      <c r="L60" s="145" t="str">
        <f t="shared" si="14"/>
        <v/>
      </c>
      <c r="M60" s="75"/>
      <c r="N60" s="75"/>
      <c r="O60" s="145" t="str">
        <f t="shared" si="15"/>
        <v/>
      </c>
      <c r="P60" s="76"/>
      <c r="Q60" s="76"/>
      <c r="R60" s="145" t="str">
        <f t="shared" si="16"/>
        <v/>
      </c>
      <c r="S60" s="75"/>
      <c r="T60" s="75"/>
      <c r="U60" s="145" t="str">
        <f t="shared" si="17"/>
        <v/>
      </c>
      <c r="V60" s="75"/>
      <c r="W60" s="75"/>
      <c r="X60" s="145" t="str">
        <f t="shared" si="18"/>
        <v/>
      </c>
      <c r="Y60" s="75"/>
      <c r="Z60" s="75"/>
      <c r="AA60" s="145" t="str">
        <f t="shared" si="19"/>
        <v/>
      </c>
      <c r="AB60" s="75"/>
      <c r="AC60" s="75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</row>
    <row r="61" spans="1:51" ht="16.2">
      <c r="A61" s="52" t="s">
        <v>13</v>
      </c>
      <c r="B61" s="53" t="s">
        <v>276</v>
      </c>
      <c r="C61" s="54">
        <f>C63</f>
        <v>5.333333333333333</v>
      </c>
      <c r="D61" s="54">
        <f>(E61+H61)/2</f>
        <v>2.4412337662337662</v>
      </c>
      <c r="E61" s="54">
        <f>E63</f>
        <v>1.95</v>
      </c>
      <c r="F61" s="54">
        <v>0</v>
      </c>
      <c r="G61" s="54">
        <v>0</v>
      </c>
      <c r="H61" s="54">
        <f>H63+T62/5.5</f>
        <v>2.9324675324675322</v>
      </c>
      <c r="I61" s="54">
        <f>C61*70+D61*45+E61*25+H61*75+G61*60+F61*150</f>
        <v>751.87391774891773</v>
      </c>
      <c r="J61" s="77" t="s">
        <v>318</v>
      </c>
      <c r="K61" s="78"/>
      <c r="L61" s="66"/>
      <c r="M61" s="77" t="s">
        <v>357</v>
      </c>
      <c r="N61" s="56"/>
      <c r="O61" s="66"/>
      <c r="P61" s="77" t="s">
        <v>358</v>
      </c>
      <c r="Q61" s="78"/>
      <c r="R61" s="66"/>
      <c r="S61" s="77" t="s">
        <v>359</v>
      </c>
      <c r="T61" s="56"/>
      <c r="U61" s="66"/>
      <c r="V61" s="77" t="s">
        <v>92</v>
      </c>
      <c r="W61" s="78"/>
      <c r="X61" s="89"/>
      <c r="Y61" s="77" t="s">
        <v>360</v>
      </c>
      <c r="Z61" s="78"/>
      <c r="AA61" s="91"/>
      <c r="AB61" s="79" t="s">
        <v>283</v>
      </c>
      <c r="AC61" s="79"/>
      <c r="AD61" s="51" t="str">
        <f>A61</f>
        <v>C1</v>
      </c>
      <c r="AE61" s="47" t="str">
        <f>J61</f>
        <v>白米飯</v>
      </c>
      <c r="AF61" s="47" t="str">
        <f>J62&amp;" "&amp;J63&amp;" "&amp;J64&amp;" "&amp;J65&amp;" "&amp;J66&amp;" "&amp;J67</f>
        <v xml:space="preserve">米     </v>
      </c>
      <c r="AG61" s="47" t="str">
        <f>M61</f>
        <v>咖哩絞肉</v>
      </c>
      <c r="AH61" s="47" t="str">
        <f>M62&amp;" "&amp;M63&amp;" "&amp;M64&amp;" "&amp;M65&amp;" "&amp;M66&amp;" "&amp;M67</f>
        <v xml:space="preserve">豬絞肉 馬鈴薯 胡蘿蔔 洋蔥 咖哩粉 </v>
      </c>
      <c r="AI61" s="47" t="str">
        <f>P61</f>
        <v>蛋香玉菜</v>
      </c>
      <c r="AJ61" s="47" t="str">
        <f>P62&amp;" "&amp;P63&amp;" "&amp;P64&amp;" "&amp;P65&amp;" "&amp;P66&amp;" "&amp;P67</f>
        <v xml:space="preserve">雞蛋 甘藍 大蒜   </v>
      </c>
      <c r="AK61" s="47" t="str">
        <f>S61</f>
        <v>泰式魚丸</v>
      </c>
      <c r="AL61" s="47" t="str">
        <f>S62&amp;" "&amp;S63&amp;" "&amp;S64&amp;" "&amp;S65&amp;" "&amp;S66&amp;" "&amp;S67</f>
        <v xml:space="preserve">魚丸 泰式甜辣醬    </v>
      </c>
      <c r="AM61" s="47" t="str">
        <f>V61</f>
        <v>時蔬</v>
      </c>
      <c r="AN61" s="47" t="str">
        <f>V62&amp;" "&amp;V63&amp;" "&amp;V64&amp;" "&amp;V65&amp;" "&amp;V66&amp;" "&amp;V67</f>
        <v xml:space="preserve">蔬菜 大蒜    </v>
      </c>
      <c r="AO61" s="47" t="str">
        <f>Y61</f>
        <v>羅宋湯</v>
      </c>
      <c r="AP61" s="47" t="str">
        <f>Y62&amp;" "&amp;Y63&amp;" "&amp;Y64&amp;" "&amp;Y65&amp;" "&amp;Y66&amp;" "&amp;Y67</f>
        <v xml:space="preserve">洋蔥 芹菜 大番茄   </v>
      </c>
      <c r="AQ61" s="51" t="str">
        <f>AB61</f>
        <v>點心</v>
      </c>
      <c r="AR61" s="51">
        <f>AC61</f>
        <v>0</v>
      </c>
      <c r="AS61" s="86">
        <f t="shared" ref="AS61" si="105">C61</f>
        <v>5.333333333333333</v>
      </c>
      <c r="AT61" s="86">
        <f t="shared" ref="AT61" si="106">H61</f>
        <v>2.9324675324675322</v>
      </c>
      <c r="AU61" s="86">
        <f t="shared" ref="AU61" si="107">E61</f>
        <v>1.95</v>
      </c>
      <c r="AV61" s="86">
        <f t="shared" ref="AV61" si="108">D61</f>
        <v>2.4412337662337662</v>
      </c>
      <c r="AW61" s="86">
        <f t="shared" ref="AW61" si="109">F61</f>
        <v>0</v>
      </c>
      <c r="AX61" s="86">
        <f t="shared" ref="AX61" si="110">G61</f>
        <v>0</v>
      </c>
      <c r="AY61" s="86">
        <f t="shared" ref="AY61" si="111">I61</f>
        <v>751.87391774891773</v>
      </c>
    </row>
    <row r="62" spans="1:51" ht="16.2">
      <c r="A62" s="57"/>
      <c r="B62" s="58"/>
      <c r="C62" s="59"/>
      <c r="D62" s="59"/>
      <c r="E62" s="59"/>
      <c r="F62" s="59"/>
      <c r="G62" s="59"/>
      <c r="H62" s="59"/>
      <c r="I62" s="60"/>
      <c r="J62" s="61" t="s">
        <v>284</v>
      </c>
      <c r="K62" s="62">
        <v>10</v>
      </c>
      <c r="L62" s="145" t="str">
        <f t="shared" ref="L62:L63" si="112">IF(K62,"公斤","")</f>
        <v>公斤</v>
      </c>
      <c r="M62" s="62" t="s">
        <v>300</v>
      </c>
      <c r="N62" s="62">
        <v>6</v>
      </c>
      <c r="O62" s="145" t="str">
        <f t="shared" ref="O62" si="113">IF(N62,"公斤","")</f>
        <v>公斤</v>
      </c>
      <c r="P62" s="62" t="s">
        <v>28</v>
      </c>
      <c r="Q62" s="62">
        <v>2.7</v>
      </c>
      <c r="R62" s="145" t="str">
        <f t="shared" ref="R62" si="114">IF(Q62,"公斤","")</f>
        <v>公斤</v>
      </c>
      <c r="S62" s="83" t="s">
        <v>286</v>
      </c>
      <c r="T62" s="81">
        <v>4</v>
      </c>
      <c r="U62" s="145" t="str">
        <f t="shared" ref="U62" si="115">IF(T62,"公斤","")</f>
        <v>公斤</v>
      </c>
      <c r="V62" s="62" t="s">
        <v>223</v>
      </c>
      <c r="W62" s="62">
        <v>7</v>
      </c>
      <c r="X62" s="145" t="str">
        <f t="shared" ref="X62" si="116">IF(W62,"公斤","")</f>
        <v>公斤</v>
      </c>
      <c r="Y62" s="62" t="s">
        <v>7</v>
      </c>
      <c r="Z62" s="62">
        <v>1.5</v>
      </c>
      <c r="AA62" s="145" t="str">
        <f t="shared" ref="AA62" si="117">IF(Z62,"公斤","")</f>
        <v>公斤</v>
      </c>
      <c r="AB62" s="62" t="s">
        <v>283</v>
      </c>
      <c r="AC62" s="62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</row>
    <row r="63" spans="1:51" ht="16.2">
      <c r="A63" s="57"/>
      <c r="B63" s="218" t="s">
        <v>557</v>
      </c>
      <c r="C63" s="219">
        <f>K62/2+N63/9</f>
        <v>5.333333333333333</v>
      </c>
      <c r="D63" s="219">
        <f>(E63+H63)/2</f>
        <v>2.0775974025974024</v>
      </c>
      <c r="E63" s="219">
        <f>(N64+N65+Q63+W62+Z62+Z63+Z64)/10</f>
        <v>1.95</v>
      </c>
      <c r="F63" s="219">
        <f t="shared" ref="F63:G63" si="118">F61</f>
        <v>0</v>
      </c>
      <c r="G63" s="219">
        <f t="shared" si="118"/>
        <v>0</v>
      </c>
      <c r="H63" s="220">
        <f>N62/3.5+Q62/5.5</f>
        <v>2.2051948051948052</v>
      </c>
      <c r="I63" s="221">
        <f>C63*70+D63*45+E63*25+H63*75+G63*60+F63*150</f>
        <v>680.96482683982686</v>
      </c>
      <c r="J63" s="61"/>
      <c r="K63" s="62"/>
      <c r="L63" s="145" t="str">
        <f t="shared" si="112"/>
        <v/>
      </c>
      <c r="M63" s="62" t="s">
        <v>31</v>
      </c>
      <c r="N63" s="62">
        <v>3</v>
      </c>
      <c r="O63" s="145" t="str">
        <f t="shared" si="15"/>
        <v>公斤</v>
      </c>
      <c r="P63" s="62" t="s">
        <v>289</v>
      </c>
      <c r="Q63" s="62">
        <v>5</v>
      </c>
      <c r="R63" s="145" t="str">
        <f t="shared" si="16"/>
        <v>公斤</v>
      </c>
      <c r="S63" s="63" t="s">
        <v>361</v>
      </c>
      <c r="T63" s="64">
        <v>0.3</v>
      </c>
      <c r="U63" s="145" t="str">
        <f t="shared" si="17"/>
        <v>公斤</v>
      </c>
      <c r="V63" s="62" t="s">
        <v>9</v>
      </c>
      <c r="W63" s="62">
        <v>0.05</v>
      </c>
      <c r="X63" s="145" t="str">
        <f t="shared" si="18"/>
        <v>公斤</v>
      </c>
      <c r="Y63" s="62" t="s">
        <v>362</v>
      </c>
      <c r="Z63" s="62">
        <v>1.5</v>
      </c>
      <c r="AA63" s="145" t="str">
        <f t="shared" si="19"/>
        <v>公斤</v>
      </c>
      <c r="AB63" s="62"/>
      <c r="AC63" s="62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</row>
    <row r="64" spans="1:51" ht="16.2">
      <c r="A64" s="57"/>
      <c r="B64" s="58"/>
      <c r="C64" s="59"/>
      <c r="D64" s="59"/>
      <c r="E64" s="59"/>
      <c r="F64" s="59"/>
      <c r="G64" s="59"/>
      <c r="H64" s="59"/>
      <c r="I64" s="67"/>
      <c r="J64" s="61"/>
      <c r="K64" s="62"/>
      <c r="L64" s="145" t="str">
        <f t="shared" si="14"/>
        <v/>
      </c>
      <c r="M64" s="62" t="s">
        <v>8</v>
      </c>
      <c r="N64" s="62">
        <v>1</v>
      </c>
      <c r="O64" s="145" t="str">
        <f t="shared" si="15"/>
        <v>公斤</v>
      </c>
      <c r="P64" s="62" t="s">
        <v>9</v>
      </c>
      <c r="Q64" s="62">
        <v>0.05</v>
      </c>
      <c r="R64" s="145" t="str">
        <f t="shared" si="16"/>
        <v>公斤</v>
      </c>
      <c r="S64" s="62"/>
      <c r="T64" s="62"/>
      <c r="U64" s="145" t="str">
        <f t="shared" si="17"/>
        <v/>
      </c>
      <c r="V64" s="62"/>
      <c r="W64" s="62"/>
      <c r="X64" s="145" t="str">
        <f t="shared" si="18"/>
        <v/>
      </c>
      <c r="Y64" s="62" t="s">
        <v>115</v>
      </c>
      <c r="Z64" s="62">
        <v>2</v>
      </c>
      <c r="AA64" s="145" t="str">
        <f t="shared" si="19"/>
        <v>公斤</v>
      </c>
      <c r="AB64" s="62"/>
      <c r="AC64" s="62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</row>
    <row r="65" spans="1:51" ht="16.2">
      <c r="A65" s="57"/>
      <c r="B65" s="58"/>
      <c r="C65" s="59"/>
      <c r="D65" s="59"/>
      <c r="E65" s="59"/>
      <c r="F65" s="59"/>
      <c r="G65" s="59"/>
      <c r="H65" s="59"/>
      <c r="I65" s="59"/>
      <c r="J65" s="61"/>
      <c r="K65" s="62"/>
      <c r="L65" s="145" t="str">
        <f t="shared" si="14"/>
        <v/>
      </c>
      <c r="M65" s="62" t="s">
        <v>7</v>
      </c>
      <c r="N65" s="62">
        <v>1.5</v>
      </c>
      <c r="O65" s="145" t="str">
        <f t="shared" si="15"/>
        <v>公斤</v>
      </c>
      <c r="P65" s="62"/>
      <c r="Q65" s="62"/>
      <c r="R65" s="145" t="str">
        <f t="shared" si="16"/>
        <v/>
      </c>
      <c r="S65" s="62"/>
      <c r="T65" s="62"/>
      <c r="U65" s="145" t="str">
        <f t="shared" si="17"/>
        <v/>
      </c>
      <c r="V65" s="62"/>
      <c r="W65" s="62"/>
      <c r="X65" s="145" t="str">
        <f t="shared" si="18"/>
        <v/>
      </c>
      <c r="Y65" s="62"/>
      <c r="Z65" s="62"/>
      <c r="AA65" s="145" t="str">
        <f t="shared" si="19"/>
        <v/>
      </c>
      <c r="AB65" s="62"/>
      <c r="AC65" s="62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</row>
    <row r="66" spans="1:51" ht="16.2">
      <c r="A66" s="57"/>
      <c r="B66" s="58"/>
      <c r="C66" s="59"/>
      <c r="D66" s="59"/>
      <c r="E66" s="59"/>
      <c r="F66" s="59"/>
      <c r="G66" s="59"/>
      <c r="H66" s="59"/>
      <c r="I66" s="59"/>
      <c r="J66" s="61"/>
      <c r="K66" s="62"/>
      <c r="L66" s="145" t="str">
        <f t="shared" si="14"/>
        <v/>
      </c>
      <c r="M66" s="62" t="s">
        <v>293</v>
      </c>
      <c r="N66" s="62"/>
      <c r="O66" s="145" t="str">
        <f t="shared" si="15"/>
        <v/>
      </c>
      <c r="P66" s="62"/>
      <c r="Q66" s="62"/>
      <c r="R66" s="145" t="str">
        <f t="shared" si="16"/>
        <v/>
      </c>
      <c r="S66" s="62"/>
      <c r="T66" s="62"/>
      <c r="U66" s="145" t="str">
        <f t="shared" si="17"/>
        <v/>
      </c>
      <c r="V66" s="62"/>
      <c r="W66" s="62"/>
      <c r="X66" s="145" t="str">
        <f t="shared" si="18"/>
        <v/>
      </c>
      <c r="Y66" s="62"/>
      <c r="Z66" s="62"/>
      <c r="AA66" s="145" t="str">
        <f t="shared" si="19"/>
        <v/>
      </c>
      <c r="AB66" s="62"/>
      <c r="AC66" s="62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</row>
    <row r="67" spans="1:51" ht="16.8" thickBot="1">
      <c r="A67" s="71"/>
      <c r="B67" s="72"/>
      <c r="C67" s="73"/>
      <c r="D67" s="73"/>
      <c r="E67" s="73"/>
      <c r="F67" s="73"/>
      <c r="G67" s="73"/>
      <c r="H67" s="73"/>
      <c r="I67" s="73"/>
      <c r="J67" s="74"/>
      <c r="K67" s="75"/>
      <c r="L67" s="145" t="str">
        <f t="shared" si="14"/>
        <v/>
      </c>
      <c r="M67" s="75"/>
      <c r="N67" s="75"/>
      <c r="O67" s="145" t="str">
        <f t="shared" si="15"/>
        <v/>
      </c>
      <c r="P67" s="75"/>
      <c r="Q67" s="75"/>
      <c r="R67" s="145" t="str">
        <f t="shared" si="16"/>
        <v/>
      </c>
      <c r="S67" s="75"/>
      <c r="T67" s="75"/>
      <c r="U67" s="145" t="str">
        <f t="shared" si="17"/>
        <v/>
      </c>
      <c r="V67" s="75"/>
      <c r="W67" s="75"/>
      <c r="X67" s="145" t="str">
        <f t="shared" si="18"/>
        <v/>
      </c>
      <c r="Y67" s="75"/>
      <c r="Z67" s="75"/>
      <c r="AA67" s="145" t="str">
        <f t="shared" si="19"/>
        <v/>
      </c>
      <c r="AB67" s="75"/>
      <c r="AC67" s="75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</row>
    <row r="68" spans="1:51" ht="16.2">
      <c r="A68" s="52" t="s">
        <v>14</v>
      </c>
      <c r="B68" s="53" t="s">
        <v>276</v>
      </c>
      <c r="C68" s="54">
        <f>C70</f>
        <v>5</v>
      </c>
      <c r="D68" s="54">
        <f>(E68+H68)/2</f>
        <v>2.7692857142857141</v>
      </c>
      <c r="E68" s="54">
        <f>E70+(T70+T71)/10</f>
        <v>2.5</v>
      </c>
      <c r="F68" s="54">
        <v>0</v>
      </c>
      <c r="G68" s="54">
        <v>0</v>
      </c>
      <c r="H68" s="54">
        <f>H70+T69/3</f>
        <v>3.0385714285714287</v>
      </c>
      <c r="I68" s="54">
        <f>C68*70+D68*45+E68*25+H68*75+G68*60+F68*150</f>
        <v>765.01071428571424</v>
      </c>
      <c r="J68" s="77" t="s">
        <v>295</v>
      </c>
      <c r="K68" s="78"/>
      <c r="L68" s="66"/>
      <c r="M68" s="77" t="s">
        <v>363</v>
      </c>
      <c r="N68" s="78"/>
      <c r="O68" s="66"/>
      <c r="P68" s="77" t="s">
        <v>364</v>
      </c>
      <c r="Q68" s="78"/>
      <c r="R68" s="66"/>
      <c r="S68" s="77" t="s">
        <v>365</v>
      </c>
      <c r="T68" s="78"/>
      <c r="U68" s="66"/>
      <c r="V68" s="77" t="s">
        <v>92</v>
      </c>
      <c r="W68" s="78"/>
      <c r="X68" s="89"/>
      <c r="Y68" s="77" t="s">
        <v>366</v>
      </c>
      <c r="Z68" s="78"/>
      <c r="AA68" s="91"/>
      <c r="AB68" s="79" t="s">
        <v>283</v>
      </c>
      <c r="AC68" s="80"/>
      <c r="AD68" s="51" t="str">
        <f>A68</f>
        <v>C2</v>
      </c>
      <c r="AE68" s="47" t="str">
        <f>J68</f>
        <v>糙米飯</v>
      </c>
      <c r="AF68" s="47" t="str">
        <f>J69&amp;" "&amp;J70&amp;" "&amp;J71&amp;" "&amp;J72&amp;" "&amp;J73&amp;" "&amp;J74</f>
        <v xml:space="preserve">米 糙米    </v>
      </c>
      <c r="AG68" s="47" t="str">
        <f>M68</f>
        <v>花瓜燒雞</v>
      </c>
      <c r="AH68" s="47" t="str">
        <f>M69&amp;" "&amp;M70&amp;" "&amp;M71&amp;" "&amp;M72&amp;" "&amp;M73&amp;" "&amp;M74</f>
        <v xml:space="preserve">肉雞 醃漬花胡瓜 胡蘿蔔 大蒜  </v>
      </c>
      <c r="AI68" s="47" t="str">
        <f>P68</f>
        <v>鮮燴時蔬</v>
      </c>
      <c r="AJ68" s="47" t="str">
        <f>P69&amp;" "&amp;P70&amp;" "&amp;P71&amp;" "&amp;P72&amp;" "&amp;P73&amp;" "&amp;P74</f>
        <v xml:space="preserve">冷凍玉米筍 豬後腿肉 脆筍 秀珍菇 大蒜 </v>
      </c>
      <c r="AK68" s="47" t="str">
        <f>S68</f>
        <v>豆包瓜粒</v>
      </c>
      <c r="AL68" s="47" t="str">
        <f>S69&amp;" "&amp;S70&amp;" "&amp;S71&amp;" "&amp;S72&amp;" "&amp;S73&amp;" "&amp;S74</f>
        <v xml:space="preserve">豆包 冬瓜 胡蘿蔔 大蒜  </v>
      </c>
      <c r="AM68" s="47" t="str">
        <f>V68</f>
        <v>時蔬</v>
      </c>
      <c r="AN68" s="47" t="str">
        <f>V69&amp;" "&amp;V70&amp;" "&amp;V71&amp;" "&amp;V72&amp;" "&amp;V73&amp;" "&amp;V74</f>
        <v xml:space="preserve">蔬菜 大蒜    </v>
      </c>
      <c r="AO68" s="47" t="str">
        <f>Y68</f>
        <v>時蔬大骨湯</v>
      </c>
      <c r="AP68" s="47" t="str">
        <f>Y69&amp;" "&amp;Y70&amp;" "&amp;Y71&amp;" "&amp;Y72&amp;" "&amp;Y73&amp;" "&amp;Y74</f>
        <v xml:space="preserve">時蔬 大骨 胡蘿蔔 薑  </v>
      </c>
      <c r="AQ68" s="51" t="str">
        <f>AB68</f>
        <v>點心</v>
      </c>
      <c r="AR68" s="51">
        <f>AC68</f>
        <v>0</v>
      </c>
      <c r="AS68" s="86">
        <f t="shared" ref="AS68" si="119">C68</f>
        <v>5</v>
      </c>
      <c r="AT68" s="86">
        <f t="shared" ref="AT68" si="120">H68</f>
        <v>3.0385714285714287</v>
      </c>
      <c r="AU68" s="86">
        <f t="shared" ref="AU68" si="121">E68</f>
        <v>2.5</v>
      </c>
      <c r="AV68" s="86">
        <f t="shared" ref="AV68" si="122">D68</f>
        <v>2.7692857142857141</v>
      </c>
      <c r="AW68" s="86">
        <f t="shared" ref="AW68" si="123">F68</f>
        <v>0</v>
      </c>
      <c r="AX68" s="86">
        <f t="shared" ref="AX68" si="124">G68</f>
        <v>0</v>
      </c>
      <c r="AY68" s="86">
        <f t="shared" ref="AY68" si="125">I68</f>
        <v>765.01071428571424</v>
      </c>
    </row>
    <row r="69" spans="1:51" ht="16.2">
      <c r="A69" s="57"/>
      <c r="B69" s="58"/>
      <c r="C69" s="59"/>
      <c r="D69" s="59"/>
      <c r="E69" s="59"/>
      <c r="F69" s="59"/>
      <c r="G69" s="59"/>
      <c r="H69" s="59"/>
      <c r="I69" s="60"/>
      <c r="J69" s="61" t="s">
        <v>284</v>
      </c>
      <c r="K69" s="62">
        <v>7</v>
      </c>
      <c r="L69" s="145" t="str">
        <f t="shared" ref="L69:L70" si="126">IF(K69,"公斤","")</f>
        <v>公斤</v>
      </c>
      <c r="M69" s="62" t="s">
        <v>6</v>
      </c>
      <c r="N69" s="62">
        <v>9</v>
      </c>
      <c r="O69" s="145" t="str">
        <f t="shared" ref="O69" si="127">IF(N69,"公斤","")</f>
        <v>公斤</v>
      </c>
      <c r="P69" s="62" t="s">
        <v>367</v>
      </c>
      <c r="Q69" s="62">
        <v>2</v>
      </c>
      <c r="R69" s="145" t="str">
        <f t="shared" ref="R69" si="128">IF(Q69,"公斤","")</f>
        <v>公斤</v>
      </c>
      <c r="S69" s="62" t="s">
        <v>368</v>
      </c>
      <c r="T69" s="62">
        <v>0.6</v>
      </c>
      <c r="U69" s="145" t="str">
        <f t="shared" ref="U69" si="129">IF(T69,"公斤","")</f>
        <v>公斤</v>
      </c>
      <c r="V69" s="62" t="s">
        <v>223</v>
      </c>
      <c r="W69" s="62">
        <v>7</v>
      </c>
      <c r="X69" s="145" t="str">
        <f t="shared" ref="X69" si="130">IF(W69,"公斤","")</f>
        <v>公斤</v>
      </c>
      <c r="Y69" s="62" t="s">
        <v>92</v>
      </c>
      <c r="Z69" s="62">
        <v>3</v>
      </c>
      <c r="AA69" s="145" t="str">
        <f t="shared" ref="AA69" si="131">IF(Z69,"公斤","")</f>
        <v>公斤</v>
      </c>
      <c r="AB69" s="62" t="s">
        <v>283</v>
      </c>
      <c r="AC69" s="62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</row>
    <row r="70" spans="1:51" ht="16.2">
      <c r="A70" s="57"/>
      <c r="B70" s="218" t="s">
        <v>557</v>
      </c>
      <c r="C70" s="219">
        <f>K69/2+K70/2</f>
        <v>5</v>
      </c>
      <c r="D70" s="219">
        <f>(E70+H70)/2</f>
        <v>2.3192857142857144</v>
      </c>
      <c r="E70" s="219">
        <f>(N70+N71+Q69+Q71+Q72+W69+Z69+Z71)/10</f>
        <v>1.8</v>
      </c>
      <c r="F70" s="219">
        <f t="shared" ref="F70:G70" si="132">F68</f>
        <v>0</v>
      </c>
      <c r="G70" s="219">
        <f t="shared" si="132"/>
        <v>0</v>
      </c>
      <c r="H70" s="220">
        <f>N69*0.77/3+Q70/3.5+0.1</f>
        <v>2.8385714285714285</v>
      </c>
      <c r="I70" s="221">
        <f>C70*70+D70*45+E70*25+H70*75+G70*60+F70*150</f>
        <v>712.26071428571424</v>
      </c>
      <c r="J70" s="61" t="s">
        <v>287</v>
      </c>
      <c r="K70" s="62">
        <v>3</v>
      </c>
      <c r="L70" s="145" t="str">
        <f t="shared" si="126"/>
        <v>公斤</v>
      </c>
      <c r="M70" s="62" t="s">
        <v>369</v>
      </c>
      <c r="N70" s="62">
        <v>2</v>
      </c>
      <c r="O70" s="145" t="str">
        <f t="shared" si="15"/>
        <v>公斤</v>
      </c>
      <c r="P70" s="62" t="s">
        <v>291</v>
      </c>
      <c r="Q70" s="62">
        <v>1.5</v>
      </c>
      <c r="R70" s="145" t="str">
        <f t="shared" si="16"/>
        <v>公斤</v>
      </c>
      <c r="S70" s="62" t="s">
        <v>353</v>
      </c>
      <c r="T70" s="62">
        <v>6.5</v>
      </c>
      <c r="U70" s="145" t="str">
        <f t="shared" si="17"/>
        <v>公斤</v>
      </c>
      <c r="V70" s="62" t="s">
        <v>9</v>
      </c>
      <c r="W70" s="62">
        <v>0.05</v>
      </c>
      <c r="X70" s="145" t="str">
        <f t="shared" si="18"/>
        <v>公斤</v>
      </c>
      <c r="Y70" s="64" t="s">
        <v>311</v>
      </c>
      <c r="Z70" s="64">
        <v>1</v>
      </c>
      <c r="AA70" s="145" t="str">
        <f t="shared" si="19"/>
        <v>公斤</v>
      </c>
      <c r="AB70" s="62"/>
      <c r="AC70" s="62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</row>
    <row r="71" spans="1:51" ht="16.2">
      <c r="A71" s="57"/>
      <c r="B71" s="58"/>
      <c r="C71" s="59"/>
      <c r="D71" s="59"/>
      <c r="E71" s="59"/>
      <c r="F71" s="59"/>
      <c r="G71" s="59"/>
      <c r="H71" s="59"/>
      <c r="I71" s="67"/>
      <c r="J71" s="61"/>
      <c r="K71" s="62"/>
      <c r="L71" s="145" t="str">
        <f t="shared" si="14"/>
        <v/>
      </c>
      <c r="M71" s="62" t="s">
        <v>8</v>
      </c>
      <c r="N71" s="62">
        <v>0.5</v>
      </c>
      <c r="O71" s="145" t="str">
        <f t="shared" si="15"/>
        <v>公斤</v>
      </c>
      <c r="P71" s="62" t="s">
        <v>348</v>
      </c>
      <c r="Q71" s="62">
        <v>2</v>
      </c>
      <c r="R71" s="145" t="str">
        <f t="shared" si="16"/>
        <v>公斤</v>
      </c>
      <c r="S71" s="62" t="s">
        <v>8</v>
      </c>
      <c r="T71" s="62">
        <v>0.5</v>
      </c>
      <c r="U71" s="145" t="str">
        <f t="shared" si="17"/>
        <v>公斤</v>
      </c>
      <c r="V71" s="62"/>
      <c r="W71" s="62"/>
      <c r="X71" s="145" t="str">
        <f t="shared" si="18"/>
        <v/>
      </c>
      <c r="Y71" s="62" t="s">
        <v>8</v>
      </c>
      <c r="Z71" s="62">
        <v>0.5</v>
      </c>
      <c r="AA71" s="145" t="str">
        <f t="shared" si="19"/>
        <v>公斤</v>
      </c>
      <c r="AB71" s="62"/>
      <c r="AC71" s="62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</row>
    <row r="72" spans="1:51" ht="16.2">
      <c r="A72" s="57"/>
      <c r="B72" s="58"/>
      <c r="C72" s="59"/>
      <c r="D72" s="59"/>
      <c r="E72" s="59"/>
      <c r="F72" s="59"/>
      <c r="G72" s="59"/>
      <c r="H72" s="59"/>
      <c r="I72" s="59"/>
      <c r="J72" s="61"/>
      <c r="K72" s="62"/>
      <c r="L72" s="145" t="str">
        <f t="shared" si="14"/>
        <v/>
      </c>
      <c r="M72" s="62" t="s">
        <v>9</v>
      </c>
      <c r="N72" s="62">
        <v>0.05</v>
      </c>
      <c r="O72" s="145" t="str">
        <f t="shared" si="15"/>
        <v>公斤</v>
      </c>
      <c r="P72" s="62" t="s">
        <v>301</v>
      </c>
      <c r="Q72" s="62">
        <v>1</v>
      </c>
      <c r="R72" s="145" t="str">
        <f t="shared" si="16"/>
        <v>公斤</v>
      </c>
      <c r="S72" s="62" t="s">
        <v>9</v>
      </c>
      <c r="T72" s="62">
        <v>0.05</v>
      </c>
      <c r="U72" s="145" t="str">
        <f t="shared" si="17"/>
        <v>公斤</v>
      </c>
      <c r="V72" s="62"/>
      <c r="W72" s="62"/>
      <c r="X72" s="145" t="str">
        <f t="shared" si="18"/>
        <v/>
      </c>
      <c r="Y72" s="62" t="s">
        <v>117</v>
      </c>
      <c r="Z72" s="62">
        <v>0.05</v>
      </c>
      <c r="AA72" s="145" t="str">
        <f t="shared" si="19"/>
        <v>公斤</v>
      </c>
      <c r="AB72" s="62"/>
      <c r="AC72" s="62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</row>
    <row r="73" spans="1:51" ht="16.2">
      <c r="A73" s="57"/>
      <c r="B73" s="58"/>
      <c r="C73" s="59"/>
      <c r="D73" s="59"/>
      <c r="E73" s="59"/>
      <c r="F73" s="59"/>
      <c r="G73" s="59"/>
      <c r="H73" s="59"/>
      <c r="I73" s="59"/>
      <c r="J73" s="61"/>
      <c r="K73" s="62"/>
      <c r="L73" s="145" t="str">
        <f t="shared" si="14"/>
        <v/>
      </c>
      <c r="M73" s="62"/>
      <c r="N73" s="62"/>
      <c r="O73" s="145" t="str">
        <f t="shared" si="15"/>
        <v/>
      </c>
      <c r="P73" s="62" t="s">
        <v>9</v>
      </c>
      <c r="Q73" s="62">
        <v>0.05</v>
      </c>
      <c r="R73" s="145" t="str">
        <f t="shared" si="16"/>
        <v>公斤</v>
      </c>
      <c r="S73" s="62"/>
      <c r="T73" s="62"/>
      <c r="U73" s="145" t="str">
        <f t="shared" si="17"/>
        <v/>
      </c>
      <c r="V73" s="62"/>
      <c r="W73" s="62"/>
      <c r="X73" s="145" t="str">
        <f t="shared" si="18"/>
        <v/>
      </c>
      <c r="Y73" s="62"/>
      <c r="Z73" s="62"/>
      <c r="AA73" s="145" t="str">
        <f t="shared" si="19"/>
        <v/>
      </c>
      <c r="AB73" s="62"/>
      <c r="AC73" s="62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</row>
    <row r="74" spans="1:51" ht="16.8" thickBot="1">
      <c r="A74" s="71"/>
      <c r="B74" s="72"/>
      <c r="C74" s="73"/>
      <c r="D74" s="73"/>
      <c r="E74" s="73"/>
      <c r="F74" s="73"/>
      <c r="G74" s="73"/>
      <c r="H74" s="73"/>
      <c r="I74" s="73"/>
      <c r="J74" s="74"/>
      <c r="K74" s="75"/>
      <c r="L74" s="145" t="str">
        <f t="shared" si="14"/>
        <v/>
      </c>
      <c r="M74" s="75"/>
      <c r="N74" s="75"/>
      <c r="O74" s="145" t="str">
        <f t="shared" si="15"/>
        <v/>
      </c>
      <c r="P74" s="75"/>
      <c r="Q74" s="75"/>
      <c r="R74" s="145" t="str">
        <f t="shared" si="16"/>
        <v/>
      </c>
      <c r="S74" s="75"/>
      <c r="T74" s="75"/>
      <c r="U74" s="145" t="str">
        <f t="shared" si="17"/>
        <v/>
      </c>
      <c r="V74" s="75"/>
      <c r="W74" s="75"/>
      <c r="X74" s="145" t="str">
        <f t="shared" si="18"/>
        <v/>
      </c>
      <c r="Y74" s="75"/>
      <c r="Z74" s="75"/>
      <c r="AA74" s="145" t="str">
        <f t="shared" si="19"/>
        <v/>
      </c>
      <c r="AB74" s="75"/>
      <c r="AC74" s="75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</row>
    <row r="75" spans="1:51" ht="16.2">
      <c r="A75" s="52" t="s">
        <v>15</v>
      </c>
      <c r="B75" s="53" t="s">
        <v>276</v>
      </c>
      <c r="C75" s="54">
        <f>C77</f>
        <v>5.2352941176470589</v>
      </c>
      <c r="D75" s="54">
        <f>(E75+H75)/2</f>
        <v>2.6515670995670995</v>
      </c>
      <c r="E75" s="54">
        <f>E77+(T77+T78)/10</f>
        <v>1.8039999999999998</v>
      </c>
      <c r="F75" s="54">
        <v>0</v>
      </c>
      <c r="G75" s="54">
        <v>0</v>
      </c>
      <c r="H75" s="54">
        <f>H77+T76/5.5</f>
        <v>3.4991341991341991</v>
      </c>
      <c r="I75" s="54">
        <f>C75*70+D75*45+E75*25+H75*75+G75*60+F75*150</f>
        <v>793.32617265087856</v>
      </c>
      <c r="J75" s="77" t="s">
        <v>370</v>
      </c>
      <c r="K75" s="78"/>
      <c r="L75" s="66"/>
      <c r="M75" s="55" t="s">
        <v>371</v>
      </c>
      <c r="N75" s="78"/>
      <c r="O75" s="66"/>
      <c r="P75" s="55" t="s">
        <v>372</v>
      </c>
      <c r="Q75" s="78"/>
      <c r="R75" s="66"/>
      <c r="S75" s="55" t="s">
        <v>373</v>
      </c>
      <c r="T75" s="78"/>
      <c r="U75" s="66"/>
      <c r="V75" s="55" t="s">
        <v>92</v>
      </c>
      <c r="W75" s="78"/>
      <c r="X75" s="89"/>
      <c r="Y75" s="55" t="s">
        <v>374</v>
      </c>
      <c r="Z75" s="78"/>
      <c r="AA75" s="91"/>
      <c r="AB75" s="79" t="s">
        <v>283</v>
      </c>
      <c r="AC75" s="80"/>
      <c r="AD75" s="51" t="str">
        <f>A75</f>
        <v>C3</v>
      </c>
      <c r="AE75" s="47" t="str">
        <f>J75</f>
        <v>丼飯特餐</v>
      </c>
      <c r="AF75" s="47" t="str">
        <f>J76&amp;" "&amp;J77&amp;" "&amp;J78&amp;" "&amp;J79&amp;" "&amp;J80&amp;" "&amp;J81</f>
        <v xml:space="preserve">米 糙米    </v>
      </c>
      <c r="AG75" s="47" t="str">
        <f>M75</f>
        <v>香酥魚排</v>
      </c>
      <c r="AH75" s="47" t="str">
        <f>M76&amp;" "&amp;M77&amp;" "&amp;M78&amp;" "&amp;M79&amp;" "&amp;M80&amp;" "&amp;M81</f>
        <v xml:space="preserve">魚排 大蒜    </v>
      </c>
      <c r="AI75" s="47" t="str">
        <f>P75</f>
        <v>丼飯配料</v>
      </c>
      <c r="AJ75" s="47" t="str">
        <f>P76&amp;" "&amp;P77&amp;" "&amp;P78&amp;" "&amp;P79&amp;" "&amp;P80&amp;" "&amp;P81</f>
        <v>豬絞肉 時蔬 胡蘿蔔 冷凍玉米粒 大蒜 海苔絲</v>
      </c>
      <c r="AK75" s="47" t="str">
        <f>S75</f>
        <v>鐵板油腐</v>
      </c>
      <c r="AL75" s="47" t="str">
        <f>S76&amp;" "&amp;S77&amp;" "&amp;S78&amp;" "&amp;S79&amp;" "&amp;S80&amp;" "&amp;S81</f>
        <v xml:space="preserve">四角油豆腐 甜椒(青皮) 胡蘿蔔 大蒜  </v>
      </c>
      <c r="AM75" s="47" t="str">
        <f>V75</f>
        <v>時蔬</v>
      </c>
      <c r="AN75" s="47" t="str">
        <f>V76&amp;" "&amp;V77&amp;" "&amp;V78&amp;" "&amp;V79&amp;" "&amp;V80&amp;" "&amp;V81</f>
        <v xml:space="preserve">蔬菜 大蒜    </v>
      </c>
      <c r="AO75" s="47" t="str">
        <f>Y75</f>
        <v>大醬湯</v>
      </c>
      <c r="AP75" s="47" t="str">
        <f>Y76&amp;" "&amp;Y77&amp;" "&amp;Y78&amp;" "&amp;Y79&amp;" "&amp;Y80&amp;" "&amp;Y81</f>
        <v xml:space="preserve">時蔬 味噌 柴魚片   </v>
      </c>
      <c r="AQ75" s="51" t="str">
        <f>AB75</f>
        <v>點心</v>
      </c>
      <c r="AR75" s="51">
        <f>AC75</f>
        <v>0</v>
      </c>
      <c r="AS75" s="86">
        <f t="shared" ref="AS75" si="133">C75</f>
        <v>5.2352941176470589</v>
      </c>
      <c r="AT75" s="86">
        <f t="shared" ref="AT75" si="134">H75</f>
        <v>3.4991341991341991</v>
      </c>
      <c r="AU75" s="86">
        <f t="shared" ref="AU75" si="135">E75</f>
        <v>1.8039999999999998</v>
      </c>
      <c r="AV75" s="86">
        <f t="shared" ref="AV75" si="136">D75</f>
        <v>2.6515670995670995</v>
      </c>
      <c r="AW75" s="86">
        <f t="shared" ref="AW75" si="137">F75</f>
        <v>0</v>
      </c>
      <c r="AX75" s="86">
        <f t="shared" ref="AX75" si="138">G75</f>
        <v>0</v>
      </c>
      <c r="AY75" s="86">
        <f t="shared" ref="AY75" si="139">I75</f>
        <v>793.32617265087856</v>
      </c>
    </row>
    <row r="76" spans="1:51" ht="16.2">
      <c r="A76" s="57"/>
      <c r="B76" s="58"/>
      <c r="C76" s="59"/>
      <c r="D76" s="59"/>
      <c r="E76" s="59"/>
      <c r="F76" s="59"/>
      <c r="G76" s="59"/>
      <c r="H76" s="59"/>
      <c r="I76" s="60"/>
      <c r="J76" s="64" t="s">
        <v>284</v>
      </c>
      <c r="K76" s="64">
        <v>7</v>
      </c>
      <c r="L76" s="145" t="str">
        <f t="shared" ref="L76:L137" si="140">IF(K76,"公斤","")</f>
        <v>公斤</v>
      </c>
      <c r="M76" s="64" t="s">
        <v>375</v>
      </c>
      <c r="N76" s="64">
        <v>6.5</v>
      </c>
      <c r="O76" s="145" t="str">
        <f t="shared" ref="O76:O137" si="141">IF(N76,"公斤","")</f>
        <v>公斤</v>
      </c>
      <c r="P76" s="64" t="s">
        <v>300</v>
      </c>
      <c r="Q76" s="64">
        <v>1.8</v>
      </c>
      <c r="R76" s="145" t="str">
        <f t="shared" ref="R76:R137" si="142">IF(Q76,"公斤","")</f>
        <v>公斤</v>
      </c>
      <c r="S76" s="64" t="s">
        <v>74</v>
      </c>
      <c r="T76" s="64">
        <v>4.5</v>
      </c>
      <c r="U76" s="145" t="str">
        <f t="shared" ref="U76:U137" si="143">IF(T76,"公斤","")</f>
        <v>公斤</v>
      </c>
      <c r="V76" s="64" t="s">
        <v>223</v>
      </c>
      <c r="W76" s="64">
        <v>7</v>
      </c>
      <c r="X76" s="145" t="str">
        <f t="shared" ref="X76:X137" si="144">IF(W76,"公斤","")</f>
        <v>公斤</v>
      </c>
      <c r="Y76" s="64" t="s">
        <v>92</v>
      </c>
      <c r="Z76" s="64">
        <v>4</v>
      </c>
      <c r="AA76" s="145" t="str">
        <f t="shared" ref="AA76:AA137" si="145">IF(Z76,"公斤","")</f>
        <v>公斤</v>
      </c>
      <c r="AB76" s="62" t="s">
        <v>283</v>
      </c>
      <c r="AC76" s="62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</row>
    <row r="77" spans="1:51" ht="16.2">
      <c r="A77" s="57"/>
      <c r="B77" s="218" t="s">
        <v>557</v>
      </c>
      <c r="C77" s="219">
        <f>K76/2+K77/2+Q79/8.5</f>
        <v>5.2352941176470589</v>
      </c>
      <c r="D77" s="219">
        <f>(E77+H77)/2</f>
        <v>2.1174761904761903</v>
      </c>
      <c r="E77" s="219">
        <f>(Q77+Q78+Q81+W76+Z76)/10</f>
        <v>1.5539999999999998</v>
      </c>
      <c r="F77" s="219">
        <f t="shared" ref="F77:G77" si="146">F75</f>
        <v>0</v>
      </c>
      <c r="G77" s="219">
        <f t="shared" si="146"/>
        <v>0</v>
      </c>
      <c r="H77" s="220">
        <f>N76/3+Q76/3.5</f>
        <v>2.6809523809523808</v>
      </c>
      <c r="I77" s="221">
        <f>C77*70+D77*45+E77*25+H77*75+G77*60+F77*150</f>
        <v>701.67844537815131</v>
      </c>
      <c r="J77" s="64" t="s">
        <v>287</v>
      </c>
      <c r="K77" s="64">
        <v>3</v>
      </c>
      <c r="L77" s="145" t="str">
        <f t="shared" si="140"/>
        <v>公斤</v>
      </c>
      <c r="M77" s="64" t="s">
        <v>9</v>
      </c>
      <c r="N77" s="64">
        <v>0.05</v>
      </c>
      <c r="O77" s="145" t="str">
        <f t="shared" si="141"/>
        <v>公斤</v>
      </c>
      <c r="P77" s="64" t="s">
        <v>92</v>
      </c>
      <c r="Q77" s="64">
        <v>4</v>
      </c>
      <c r="R77" s="145" t="str">
        <f t="shared" si="142"/>
        <v>公斤</v>
      </c>
      <c r="S77" s="64" t="s">
        <v>376</v>
      </c>
      <c r="T77" s="64">
        <v>1.5</v>
      </c>
      <c r="U77" s="145" t="str">
        <f t="shared" si="143"/>
        <v>公斤</v>
      </c>
      <c r="V77" s="64" t="s">
        <v>9</v>
      </c>
      <c r="W77" s="64">
        <v>0.05</v>
      </c>
      <c r="X77" s="145" t="str">
        <f t="shared" si="144"/>
        <v>公斤</v>
      </c>
      <c r="Y77" s="64" t="s">
        <v>331</v>
      </c>
      <c r="Z77" s="64">
        <v>0.6</v>
      </c>
      <c r="AA77" s="145" t="str">
        <f t="shared" si="145"/>
        <v>公斤</v>
      </c>
      <c r="AB77" s="62"/>
      <c r="AC77" s="62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</row>
    <row r="78" spans="1:51" ht="16.2">
      <c r="A78" s="57"/>
      <c r="B78" s="58"/>
      <c r="C78" s="59"/>
      <c r="D78" s="59"/>
      <c r="E78" s="59"/>
      <c r="F78" s="59"/>
      <c r="G78" s="59"/>
      <c r="H78" s="59"/>
      <c r="I78" s="67"/>
      <c r="J78" s="64"/>
      <c r="K78" s="64"/>
      <c r="L78" s="145" t="str">
        <f t="shared" si="140"/>
        <v/>
      </c>
      <c r="M78" s="64"/>
      <c r="N78" s="64"/>
      <c r="O78" s="145" t="str">
        <f t="shared" si="141"/>
        <v/>
      </c>
      <c r="P78" s="64" t="s">
        <v>8</v>
      </c>
      <c r="Q78" s="64">
        <v>0.5</v>
      </c>
      <c r="R78" s="145" t="str">
        <f t="shared" si="142"/>
        <v>公斤</v>
      </c>
      <c r="S78" s="64" t="s">
        <v>8</v>
      </c>
      <c r="T78" s="64">
        <v>1</v>
      </c>
      <c r="U78" s="145" t="str">
        <f t="shared" si="143"/>
        <v>公斤</v>
      </c>
      <c r="V78" s="64"/>
      <c r="W78" s="64"/>
      <c r="X78" s="145" t="str">
        <f t="shared" si="144"/>
        <v/>
      </c>
      <c r="Y78" s="64" t="s">
        <v>315</v>
      </c>
      <c r="Z78" s="64">
        <v>0.01</v>
      </c>
      <c r="AA78" s="145" t="str">
        <f t="shared" si="145"/>
        <v>公斤</v>
      </c>
      <c r="AB78" s="62"/>
      <c r="AC78" s="62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</row>
    <row r="79" spans="1:51" ht="16.2">
      <c r="A79" s="57"/>
      <c r="B79" s="58"/>
      <c r="C79" s="59"/>
      <c r="D79" s="59"/>
      <c r="E79" s="59"/>
      <c r="F79" s="59"/>
      <c r="G79" s="59"/>
      <c r="H79" s="59"/>
      <c r="I79" s="59"/>
      <c r="J79" s="64"/>
      <c r="K79" s="64"/>
      <c r="L79" s="145" t="str">
        <f t="shared" si="140"/>
        <v/>
      </c>
      <c r="M79" s="64"/>
      <c r="N79" s="64"/>
      <c r="O79" s="145" t="str">
        <f t="shared" si="141"/>
        <v/>
      </c>
      <c r="P79" s="64" t="s">
        <v>30</v>
      </c>
      <c r="Q79" s="64">
        <v>2</v>
      </c>
      <c r="R79" s="145" t="str">
        <f t="shared" si="142"/>
        <v>公斤</v>
      </c>
      <c r="S79" s="64" t="s">
        <v>9</v>
      </c>
      <c r="T79" s="64">
        <v>0.05</v>
      </c>
      <c r="U79" s="145" t="str">
        <f t="shared" si="143"/>
        <v>公斤</v>
      </c>
      <c r="V79" s="64"/>
      <c r="W79" s="64"/>
      <c r="X79" s="145" t="str">
        <f t="shared" si="144"/>
        <v/>
      </c>
      <c r="Y79" s="64"/>
      <c r="Z79" s="64"/>
      <c r="AA79" s="145" t="str">
        <f t="shared" si="145"/>
        <v/>
      </c>
      <c r="AB79" s="62"/>
      <c r="AC79" s="62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</row>
    <row r="80" spans="1:51" ht="16.2">
      <c r="A80" s="57"/>
      <c r="B80" s="58"/>
      <c r="C80" s="59"/>
      <c r="D80" s="59"/>
      <c r="E80" s="59"/>
      <c r="F80" s="59"/>
      <c r="G80" s="59"/>
      <c r="H80" s="59"/>
      <c r="I80" s="59"/>
      <c r="J80" s="64"/>
      <c r="K80" s="64"/>
      <c r="L80" s="145" t="str">
        <f t="shared" si="140"/>
        <v/>
      </c>
      <c r="M80" s="64"/>
      <c r="N80" s="64"/>
      <c r="O80" s="145" t="str">
        <f t="shared" si="141"/>
        <v/>
      </c>
      <c r="P80" s="64" t="s">
        <v>9</v>
      </c>
      <c r="Q80" s="64">
        <v>0.05</v>
      </c>
      <c r="R80" s="145" t="str">
        <f t="shared" si="142"/>
        <v>公斤</v>
      </c>
      <c r="S80" s="64"/>
      <c r="T80" s="64"/>
      <c r="U80" s="145" t="str">
        <f t="shared" si="143"/>
        <v/>
      </c>
      <c r="V80" s="64"/>
      <c r="W80" s="64"/>
      <c r="X80" s="145" t="str">
        <f t="shared" si="144"/>
        <v/>
      </c>
      <c r="Y80" s="64"/>
      <c r="Z80" s="64"/>
      <c r="AA80" s="145" t="str">
        <f t="shared" si="145"/>
        <v/>
      </c>
      <c r="AB80" s="62"/>
      <c r="AC80" s="62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</row>
    <row r="81" spans="1:51" ht="16.8" thickBot="1">
      <c r="A81" s="71"/>
      <c r="B81" s="72"/>
      <c r="C81" s="73"/>
      <c r="D81" s="73"/>
      <c r="E81" s="73"/>
      <c r="F81" s="73"/>
      <c r="G81" s="73"/>
      <c r="H81" s="73"/>
      <c r="I81" s="73"/>
      <c r="J81" s="84"/>
      <c r="K81" s="84"/>
      <c r="L81" s="145" t="str">
        <f t="shared" si="140"/>
        <v/>
      </c>
      <c r="M81" s="84"/>
      <c r="N81" s="84"/>
      <c r="O81" s="145" t="str">
        <f t="shared" si="141"/>
        <v/>
      </c>
      <c r="P81" s="84" t="s">
        <v>377</v>
      </c>
      <c r="Q81" s="84">
        <v>0.04</v>
      </c>
      <c r="R81" s="145" t="str">
        <f t="shared" si="142"/>
        <v>公斤</v>
      </c>
      <c r="S81" s="84"/>
      <c r="T81" s="84"/>
      <c r="U81" s="145" t="str">
        <f t="shared" si="143"/>
        <v/>
      </c>
      <c r="V81" s="84"/>
      <c r="W81" s="84"/>
      <c r="X81" s="145" t="str">
        <f t="shared" si="144"/>
        <v/>
      </c>
      <c r="Y81" s="84"/>
      <c r="Z81" s="84"/>
      <c r="AA81" s="145" t="str">
        <f t="shared" si="145"/>
        <v/>
      </c>
      <c r="AB81" s="75"/>
      <c r="AC81" s="75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</row>
    <row r="82" spans="1:51" ht="16.2">
      <c r="A82" s="52" t="s">
        <v>16</v>
      </c>
      <c r="B82" s="53" t="s">
        <v>276</v>
      </c>
      <c r="C82" s="54">
        <f>C84</f>
        <v>6</v>
      </c>
      <c r="D82" s="54">
        <f>(E82+H82)/2+T85/1.5</f>
        <v>2.4003246753246756</v>
      </c>
      <c r="E82" s="54">
        <f>E84+T83/10</f>
        <v>2.4500000000000002</v>
      </c>
      <c r="F82" s="54">
        <v>0</v>
      </c>
      <c r="G82" s="54">
        <v>0</v>
      </c>
      <c r="H82" s="54">
        <f>H84</f>
        <v>1.9506493506493505</v>
      </c>
      <c r="I82" s="54">
        <f>C82*70+D82*45+E82*25+H82*75+G82*60+F82*150</f>
        <v>735.56331168831173</v>
      </c>
      <c r="J82" s="77" t="s">
        <v>295</v>
      </c>
      <c r="K82" s="78"/>
      <c r="L82" s="66"/>
      <c r="M82" s="138" t="s">
        <v>559</v>
      </c>
      <c r="N82" s="78"/>
      <c r="O82" s="66"/>
      <c r="P82" s="77" t="s">
        <v>378</v>
      </c>
      <c r="Q82" s="78"/>
      <c r="R82" s="66"/>
      <c r="S82" s="77" t="s">
        <v>379</v>
      </c>
      <c r="T82" s="56"/>
      <c r="U82" s="66"/>
      <c r="V82" s="77" t="s">
        <v>92</v>
      </c>
      <c r="W82" s="78"/>
      <c r="X82" s="89"/>
      <c r="Y82" s="77" t="s">
        <v>380</v>
      </c>
      <c r="Z82" s="78"/>
      <c r="AA82" s="91"/>
      <c r="AB82" s="79" t="s">
        <v>283</v>
      </c>
      <c r="AC82" s="80"/>
      <c r="AD82" s="51" t="str">
        <f>A82</f>
        <v>C4</v>
      </c>
      <c r="AE82" s="47" t="str">
        <f>J82</f>
        <v>糙米飯</v>
      </c>
      <c r="AF82" s="47" t="str">
        <f>J83&amp;" "&amp;J84&amp;" "&amp;J85&amp;" "&amp;J86&amp;" "&amp;J87&amp;" "&amp;J88</f>
        <v xml:space="preserve">米 糙米    </v>
      </c>
      <c r="AG82" s="47" t="str">
        <f>M82</f>
        <v>筍干肉角</v>
      </c>
      <c r="AH82" s="47" t="str">
        <f>M83&amp;" "&amp;M84&amp;" "&amp;M85&amp;" "&amp;M86&amp;" "&amp;M87&amp;" "&amp;M88</f>
        <v xml:space="preserve">豬後腿肉 麻竹筍干 胡蘿蔔 大蒜  </v>
      </c>
      <c r="AI82" s="47" t="str">
        <f>P82</f>
        <v>西滷菜</v>
      </c>
      <c r="AJ82" s="47" t="str">
        <f>P83&amp;" "&amp;P84&amp;" "&amp;P85&amp;" "&amp;P86&amp;" "&amp;P87&amp;" "&amp;P88</f>
        <v xml:space="preserve">雞蛋 結球白菜 胡蘿蔔 大蒜 乾木耳 </v>
      </c>
      <c r="AK82" s="47" t="str">
        <f>S82</f>
        <v>培根季豆</v>
      </c>
      <c r="AL82" s="47" t="str">
        <f>S83&amp;" "&amp;S84&amp;" "&amp;S85&amp;" "&amp;S86&amp;" "&amp;S87&amp;" "&amp;S88</f>
        <v xml:space="preserve">冷凍菜豆(莢) 大蒜 培根   </v>
      </c>
      <c r="AM82" s="47" t="str">
        <f>V82</f>
        <v>時蔬</v>
      </c>
      <c r="AN82" s="47" t="str">
        <f>V83&amp;" "&amp;V84&amp;" "&amp;V85&amp;" "&amp;V86&amp;" "&amp;V87&amp;" "&amp;V88</f>
        <v xml:space="preserve">蔬菜 大蒜    </v>
      </c>
      <c r="AO82" s="47" t="str">
        <f>Y82</f>
        <v>麥仁甜湯</v>
      </c>
      <c r="AP82" s="47" t="str">
        <f>Y83&amp;" "&amp;Y84&amp;" "&amp;Y85&amp;" "&amp;Y86&amp;" "&amp;Y87&amp;" "&amp;Y88</f>
        <v xml:space="preserve">大麥仁 紅砂糖    </v>
      </c>
      <c r="AQ82" s="51" t="str">
        <f>AB82</f>
        <v>點心</v>
      </c>
      <c r="AR82" s="51">
        <f>AC82</f>
        <v>0</v>
      </c>
      <c r="AS82" s="86">
        <f t="shared" ref="AS82" si="147">C82</f>
        <v>6</v>
      </c>
      <c r="AT82" s="86">
        <f t="shared" ref="AT82" si="148">H82</f>
        <v>1.9506493506493505</v>
      </c>
      <c r="AU82" s="86">
        <f t="shared" ref="AU82" si="149">E82</f>
        <v>2.4500000000000002</v>
      </c>
      <c r="AV82" s="86">
        <f t="shared" ref="AV82" si="150">D82</f>
        <v>2.4003246753246756</v>
      </c>
      <c r="AW82" s="86">
        <f t="shared" ref="AW82" si="151">F82</f>
        <v>0</v>
      </c>
      <c r="AX82" s="86">
        <f t="shared" ref="AX82" si="152">G82</f>
        <v>0</v>
      </c>
      <c r="AY82" s="86">
        <f t="shared" ref="AY82" si="153">I82</f>
        <v>735.56331168831173</v>
      </c>
    </row>
    <row r="83" spans="1:51" ht="16.2">
      <c r="A83" s="57"/>
      <c r="B83" s="58"/>
      <c r="C83" s="59"/>
      <c r="D83" s="59"/>
      <c r="E83" s="59"/>
      <c r="F83" s="59"/>
      <c r="G83" s="59"/>
      <c r="H83" s="59"/>
      <c r="I83" s="60"/>
      <c r="J83" s="61" t="s">
        <v>284</v>
      </c>
      <c r="K83" s="62">
        <v>7</v>
      </c>
      <c r="L83" s="145" t="str">
        <f t="shared" ref="L83:L84" si="154">IF(K83,"公斤","")</f>
        <v>公斤</v>
      </c>
      <c r="M83" s="62" t="s">
        <v>291</v>
      </c>
      <c r="N83" s="62">
        <v>6</v>
      </c>
      <c r="O83" s="145" t="str">
        <f t="shared" ref="O83" si="155">IF(N83,"公斤","")</f>
        <v>公斤</v>
      </c>
      <c r="P83" s="62" t="s">
        <v>28</v>
      </c>
      <c r="Q83" s="62">
        <v>1.3</v>
      </c>
      <c r="R83" s="145" t="str">
        <f t="shared" ref="R83" si="156">IF(Q83,"公斤","")</f>
        <v>公斤</v>
      </c>
      <c r="S83" s="62" t="s">
        <v>381</v>
      </c>
      <c r="T83" s="62">
        <v>6</v>
      </c>
      <c r="U83" s="145" t="str">
        <f t="shared" ref="U83" si="157">IF(T83,"公斤","")</f>
        <v>公斤</v>
      </c>
      <c r="V83" s="62" t="s">
        <v>223</v>
      </c>
      <c r="W83" s="62">
        <v>7</v>
      </c>
      <c r="X83" s="145" t="str">
        <f t="shared" ref="X83" si="158">IF(W83,"公斤","")</f>
        <v>公斤</v>
      </c>
      <c r="Y83" s="62" t="s">
        <v>382</v>
      </c>
      <c r="Z83" s="62">
        <v>2</v>
      </c>
      <c r="AA83" s="145" t="str">
        <f t="shared" ref="AA83" si="159">IF(Z83,"公斤","")</f>
        <v>公斤</v>
      </c>
      <c r="AB83" s="62" t="s">
        <v>283</v>
      </c>
      <c r="AC83" s="62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</row>
    <row r="84" spans="1:51" ht="16.2">
      <c r="A84" s="57"/>
      <c r="B84" s="218" t="s">
        <v>557</v>
      </c>
      <c r="C84" s="219">
        <f>K83/2+K84/2+Z83/2</f>
        <v>6</v>
      </c>
      <c r="D84" s="219">
        <f>(E84+H84)/2+T85/1.5</f>
        <v>2.1003246753246754</v>
      </c>
      <c r="E84" s="219">
        <f>(N84+N85+Q84+W83+Q85)/10</f>
        <v>1.85</v>
      </c>
      <c r="F84" s="219">
        <f t="shared" ref="F84:G84" si="160">F82</f>
        <v>0</v>
      </c>
      <c r="G84" s="219">
        <f t="shared" si="160"/>
        <v>0</v>
      </c>
      <c r="H84" s="220">
        <f>N83/3.5+Q83/5.5</f>
        <v>1.9506493506493505</v>
      </c>
      <c r="I84" s="221">
        <f>C84*70+D84*45+E84*25+H84*75+G84*60+F84*150</f>
        <v>707.06331168831173</v>
      </c>
      <c r="J84" s="61" t="s">
        <v>287</v>
      </c>
      <c r="K84" s="62">
        <v>3</v>
      </c>
      <c r="L84" s="145" t="str">
        <f t="shared" si="154"/>
        <v>公斤</v>
      </c>
      <c r="M84" s="62" t="s">
        <v>304</v>
      </c>
      <c r="N84" s="62">
        <v>3.5</v>
      </c>
      <c r="O84" s="145" t="str">
        <f t="shared" si="141"/>
        <v>公斤</v>
      </c>
      <c r="P84" s="62" t="s">
        <v>323</v>
      </c>
      <c r="Q84" s="62">
        <v>6.5</v>
      </c>
      <c r="R84" s="145" t="str">
        <f t="shared" si="142"/>
        <v>公斤</v>
      </c>
      <c r="S84" s="62" t="s">
        <v>9</v>
      </c>
      <c r="T84" s="62">
        <v>0.05</v>
      </c>
      <c r="U84" s="145" t="str">
        <f t="shared" si="143"/>
        <v>公斤</v>
      </c>
      <c r="V84" s="62" t="s">
        <v>9</v>
      </c>
      <c r="W84" s="62">
        <v>0.05</v>
      </c>
      <c r="X84" s="145" t="str">
        <f t="shared" si="144"/>
        <v>公斤</v>
      </c>
      <c r="Y84" s="62" t="s">
        <v>77</v>
      </c>
      <c r="Z84" s="62">
        <v>1</v>
      </c>
      <c r="AA84" s="145" t="str">
        <f t="shared" si="145"/>
        <v>公斤</v>
      </c>
      <c r="AB84" s="62"/>
      <c r="AC84" s="62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</row>
    <row r="85" spans="1:51" ht="16.2">
      <c r="A85" s="57"/>
      <c r="B85" s="58"/>
      <c r="C85" s="59"/>
      <c r="D85" s="59"/>
      <c r="E85" s="59"/>
      <c r="F85" s="59"/>
      <c r="G85" s="59"/>
      <c r="H85" s="59"/>
      <c r="I85" s="67"/>
      <c r="J85" s="61"/>
      <c r="K85" s="62"/>
      <c r="L85" s="145" t="str">
        <f t="shared" si="140"/>
        <v/>
      </c>
      <c r="M85" s="62" t="s">
        <v>8</v>
      </c>
      <c r="N85" s="62">
        <v>1</v>
      </c>
      <c r="O85" s="145" t="str">
        <f t="shared" si="141"/>
        <v>公斤</v>
      </c>
      <c r="P85" s="62" t="s">
        <v>8</v>
      </c>
      <c r="Q85" s="62">
        <v>0.5</v>
      </c>
      <c r="R85" s="145" t="str">
        <f t="shared" si="142"/>
        <v>公斤</v>
      </c>
      <c r="S85" s="62" t="s">
        <v>383</v>
      </c>
      <c r="T85" s="62">
        <v>0.3</v>
      </c>
      <c r="U85" s="145" t="str">
        <f t="shared" si="143"/>
        <v>公斤</v>
      </c>
      <c r="V85" s="62"/>
      <c r="W85" s="62"/>
      <c r="X85" s="145" t="str">
        <f t="shared" si="144"/>
        <v/>
      </c>
      <c r="Y85" s="62"/>
      <c r="Z85" s="62"/>
      <c r="AA85" s="145" t="str">
        <f t="shared" si="145"/>
        <v/>
      </c>
      <c r="AB85" s="62"/>
      <c r="AC85" s="62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</row>
    <row r="86" spans="1:51" ht="16.2">
      <c r="A86" s="57"/>
      <c r="B86" s="58"/>
      <c r="C86" s="59"/>
      <c r="D86" s="59"/>
      <c r="E86" s="59"/>
      <c r="F86" s="59"/>
      <c r="G86" s="59"/>
      <c r="H86" s="59"/>
      <c r="I86" s="59"/>
      <c r="J86" s="61"/>
      <c r="K86" s="62"/>
      <c r="L86" s="145" t="str">
        <f t="shared" si="140"/>
        <v/>
      </c>
      <c r="M86" s="62" t="s">
        <v>9</v>
      </c>
      <c r="N86" s="62">
        <v>0.05</v>
      </c>
      <c r="O86" s="145" t="str">
        <f t="shared" si="141"/>
        <v>公斤</v>
      </c>
      <c r="P86" s="62" t="s">
        <v>9</v>
      </c>
      <c r="Q86" s="62">
        <v>0.05</v>
      </c>
      <c r="R86" s="145" t="str">
        <f t="shared" si="142"/>
        <v>公斤</v>
      </c>
      <c r="S86" s="62"/>
      <c r="T86" s="62"/>
      <c r="U86" s="145" t="str">
        <f t="shared" si="143"/>
        <v/>
      </c>
      <c r="V86" s="62"/>
      <c r="W86" s="62"/>
      <c r="X86" s="145" t="str">
        <f t="shared" si="144"/>
        <v/>
      </c>
      <c r="Y86" s="62"/>
      <c r="Z86" s="62"/>
      <c r="AA86" s="145" t="str">
        <f t="shared" si="145"/>
        <v/>
      </c>
      <c r="AB86" s="62"/>
      <c r="AC86" s="62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</row>
    <row r="87" spans="1:51" ht="16.2">
      <c r="A87" s="57"/>
      <c r="B87" s="58"/>
      <c r="C87" s="59"/>
      <c r="D87" s="59"/>
      <c r="E87" s="59"/>
      <c r="F87" s="59"/>
      <c r="G87" s="59"/>
      <c r="H87" s="59"/>
      <c r="I87" s="59"/>
      <c r="J87" s="61"/>
      <c r="K87" s="62"/>
      <c r="L87" s="145" t="str">
        <f t="shared" si="140"/>
        <v/>
      </c>
      <c r="M87" s="62"/>
      <c r="N87" s="62"/>
      <c r="O87" s="145" t="str">
        <f t="shared" si="141"/>
        <v/>
      </c>
      <c r="P87" s="62" t="s">
        <v>95</v>
      </c>
      <c r="Q87" s="62">
        <v>0.01</v>
      </c>
      <c r="R87" s="145" t="str">
        <f t="shared" si="142"/>
        <v>公斤</v>
      </c>
      <c r="S87" s="62"/>
      <c r="T87" s="62"/>
      <c r="U87" s="145" t="str">
        <f t="shared" si="143"/>
        <v/>
      </c>
      <c r="V87" s="62"/>
      <c r="W87" s="62"/>
      <c r="X87" s="145" t="str">
        <f t="shared" si="144"/>
        <v/>
      </c>
      <c r="Y87" s="62"/>
      <c r="Z87" s="62"/>
      <c r="AA87" s="145" t="str">
        <f t="shared" si="145"/>
        <v/>
      </c>
      <c r="AB87" s="62"/>
      <c r="AC87" s="62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</row>
    <row r="88" spans="1:51" ht="16.8" thickBot="1">
      <c r="A88" s="71"/>
      <c r="B88" s="72"/>
      <c r="C88" s="73"/>
      <c r="D88" s="73"/>
      <c r="E88" s="73"/>
      <c r="F88" s="73"/>
      <c r="G88" s="73"/>
      <c r="H88" s="73"/>
      <c r="I88" s="73"/>
      <c r="J88" s="74"/>
      <c r="K88" s="75"/>
      <c r="L88" s="145" t="str">
        <f t="shared" si="140"/>
        <v/>
      </c>
      <c r="M88" s="75"/>
      <c r="N88" s="75"/>
      <c r="O88" s="145" t="str">
        <f t="shared" si="141"/>
        <v/>
      </c>
      <c r="P88" s="75"/>
      <c r="Q88" s="75"/>
      <c r="R88" s="145" t="str">
        <f t="shared" si="142"/>
        <v/>
      </c>
      <c r="S88" s="75"/>
      <c r="T88" s="75"/>
      <c r="U88" s="145" t="str">
        <f t="shared" si="143"/>
        <v/>
      </c>
      <c r="V88" s="75"/>
      <c r="W88" s="75"/>
      <c r="X88" s="145" t="str">
        <f t="shared" si="144"/>
        <v/>
      </c>
      <c r="Y88" s="75"/>
      <c r="Z88" s="75"/>
      <c r="AA88" s="145" t="str">
        <f t="shared" si="145"/>
        <v/>
      </c>
      <c r="AB88" s="75"/>
      <c r="AC88" s="75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</row>
    <row r="89" spans="1:51" ht="16.2">
      <c r="A89" s="52" t="s">
        <v>17</v>
      </c>
      <c r="B89" s="53" t="s">
        <v>276</v>
      </c>
      <c r="C89" s="54">
        <f>C91</f>
        <v>6.7098039215686276</v>
      </c>
      <c r="D89" s="54">
        <f>(E89+H89)/2</f>
        <v>2.1503246753246756</v>
      </c>
      <c r="E89" s="54">
        <f>E91+(T90*8+T91)/10</f>
        <v>1.9500000000000002</v>
      </c>
      <c r="F89" s="54">
        <v>0</v>
      </c>
      <c r="G89" s="54">
        <v>0</v>
      </c>
      <c r="H89" s="54">
        <f>H91</f>
        <v>2.3506493506493507</v>
      </c>
      <c r="I89" s="54">
        <f>C89*70+D89*45+E89*25+H89*75+G89*60+F89*150</f>
        <v>791.49958619811559</v>
      </c>
      <c r="J89" s="249" t="s">
        <v>484</v>
      </c>
      <c r="K89" s="250"/>
      <c r="L89" s="66"/>
      <c r="M89" s="55" t="s">
        <v>385</v>
      </c>
      <c r="N89" s="78"/>
      <c r="O89" s="66"/>
      <c r="P89" s="55" t="s">
        <v>386</v>
      </c>
      <c r="Q89" s="56"/>
      <c r="R89" s="66"/>
      <c r="S89" s="77" t="s">
        <v>165</v>
      </c>
      <c r="T89" s="56"/>
      <c r="U89" s="66"/>
      <c r="V89" s="55" t="s">
        <v>92</v>
      </c>
      <c r="W89" s="78"/>
      <c r="X89" s="89"/>
      <c r="Y89" s="247" t="s">
        <v>501</v>
      </c>
      <c r="Z89" s="248"/>
      <c r="AA89" s="91"/>
      <c r="AB89" s="79" t="s">
        <v>283</v>
      </c>
      <c r="AC89" s="91" t="s">
        <v>56</v>
      </c>
      <c r="AD89" s="51" t="str">
        <f>A89</f>
        <v>C5</v>
      </c>
      <c r="AE89" s="47" t="str">
        <f>J89</f>
        <v>紫米飯</v>
      </c>
      <c r="AF89" s="47" t="str">
        <f>J90&amp;" "&amp;J91&amp;" "&amp;J92&amp;" "&amp;J93&amp;" "&amp;J94&amp;" "&amp;J95</f>
        <v xml:space="preserve">米 黑秈糯米    </v>
      </c>
      <c r="AG89" s="47" t="str">
        <f>M89</f>
        <v>蒜泥肉片</v>
      </c>
      <c r="AH89" s="47" t="str">
        <f>M90&amp;" "&amp;M91&amp;" "&amp;M92&amp;" "&amp;M93&amp;" "&amp;M94&amp;" "&amp;M95</f>
        <v xml:space="preserve">豬後腿肉 甘藍 大蒜   </v>
      </c>
      <c r="AI89" s="47" t="str">
        <f>P89</f>
        <v>玉米炒蛋</v>
      </c>
      <c r="AJ89" s="47" t="str">
        <f>P90&amp;" "&amp;P91&amp;" "&amp;P92&amp;" "&amp;P93&amp;" "&amp;P94&amp;" "&amp;P95</f>
        <v xml:space="preserve">雞蛋 冷凍玉米粒 紅蘿蔔 大蒜 洋蔥 </v>
      </c>
      <c r="AK89" s="47" t="str">
        <f>S89</f>
        <v>菇拌海帶</v>
      </c>
      <c r="AL89" s="47" t="str">
        <f>S90&amp;" "&amp;S91&amp;" "&amp;S92&amp;" "&amp;S93&amp;" "&amp;S94&amp;" "&amp;S95</f>
        <v xml:space="preserve">乾裙帶菜 金針菇 大蒜   </v>
      </c>
      <c r="AM89" s="47" t="str">
        <f>V89</f>
        <v>時蔬</v>
      </c>
      <c r="AN89" s="47" t="str">
        <f>V90&amp;" "&amp;V91&amp;" "&amp;V92&amp;" "&amp;V93&amp;" "&amp;V94&amp;" "&amp;V95</f>
        <v xml:space="preserve">蔬菜 大蒜    </v>
      </c>
      <c r="AO89" s="47" t="str">
        <f>Y89</f>
        <v>四神湯</v>
      </c>
      <c r="AP89" s="47" t="str">
        <f>Y90&amp;" "&amp;Y91&amp;" "&amp;Y92&amp;" "&amp;Y93&amp;" "&amp;Y94&amp;" "&amp;Y95</f>
        <v xml:space="preserve">四神 白蘿蔔 薑   </v>
      </c>
      <c r="AQ89" s="51" t="str">
        <f>AB89</f>
        <v>點心</v>
      </c>
      <c r="AR89" s="51" t="str">
        <f>AC89</f>
        <v>有機豆奶</v>
      </c>
      <c r="AS89" s="86">
        <f t="shared" ref="AS89" si="161">C89</f>
        <v>6.7098039215686276</v>
      </c>
      <c r="AT89" s="86">
        <f t="shared" ref="AT89" si="162">H89</f>
        <v>2.3506493506493507</v>
      </c>
      <c r="AU89" s="86">
        <f t="shared" ref="AU89" si="163">E89</f>
        <v>1.9500000000000002</v>
      </c>
      <c r="AV89" s="86">
        <f t="shared" ref="AV89" si="164">D89</f>
        <v>2.1503246753246756</v>
      </c>
      <c r="AW89" s="86">
        <f t="shared" ref="AW89" si="165">F89</f>
        <v>0</v>
      </c>
      <c r="AX89" s="86">
        <f t="shared" ref="AX89" si="166">G89</f>
        <v>0</v>
      </c>
      <c r="AY89" s="86">
        <f t="shared" ref="AY89" si="167">I89</f>
        <v>791.49958619811559</v>
      </c>
    </row>
    <row r="90" spans="1:51" ht="16.2">
      <c r="A90" s="57"/>
      <c r="B90" s="58"/>
      <c r="C90" s="59"/>
      <c r="D90" s="59"/>
      <c r="E90" s="59"/>
      <c r="F90" s="59"/>
      <c r="G90" s="59"/>
      <c r="H90" s="59"/>
      <c r="I90" s="60"/>
      <c r="J90" s="106" t="s">
        <v>57</v>
      </c>
      <c r="K90" s="106">
        <v>10</v>
      </c>
      <c r="L90" s="145" t="str">
        <f t="shared" ref="L90:L91" si="168">IF(K90,"公斤","")</f>
        <v>公斤</v>
      </c>
      <c r="M90" s="64" t="s">
        <v>291</v>
      </c>
      <c r="N90" s="64">
        <v>6</v>
      </c>
      <c r="O90" s="145" t="str">
        <f t="shared" ref="O90" si="169">IF(N90,"公斤","")</f>
        <v>公斤</v>
      </c>
      <c r="P90" s="64" t="s">
        <v>28</v>
      </c>
      <c r="Q90" s="64">
        <v>3.5</v>
      </c>
      <c r="R90" s="145" t="str">
        <f t="shared" ref="R90" si="170">IF(Q90,"公斤","")</f>
        <v>公斤</v>
      </c>
      <c r="S90" s="62" t="s">
        <v>167</v>
      </c>
      <c r="T90" s="62">
        <v>1</v>
      </c>
      <c r="U90" s="145" t="str">
        <f t="shared" ref="U90" si="171">IF(T90,"公斤","")</f>
        <v>公斤</v>
      </c>
      <c r="V90" s="64" t="s">
        <v>223</v>
      </c>
      <c r="W90" s="64">
        <v>7</v>
      </c>
      <c r="X90" s="145" t="str">
        <f t="shared" ref="X90" si="172">IF(W90,"公斤","")</f>
        <v>公斤</v>
      </c>
      <c r="Y90" s="133" t="s">
        <v>502</v>
      </c>
      <c r="Z90" s="132">
        <v>2</v>
      </c>
      <c r="AA90" s="145" t="str">
        <f t="shared" ref="AA90" si="173">IF(Z90,"公斤","")</f>
        <v>公斤</v>
      </c>
      <c r="AB90" s="62" t="s">
        <v>283</v>
      </c>
      <c r="AC90" s="62" t="s">
        <v>56</v>
      </c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</row>
    <row r="91" spans="1:51" ht="16.2">
      <c r="A91" s="57"/>
      <c r="B91" s="218" t="s">
        <v>557</v>
      </c>
      <c r="C91" s="219">
        <f>K90/2+K91/2+Q91/8.5+Z91/1.5</f>
        <v>6.7098039215686276</v>
      </c>
      <c r="D91" s="219">
        <f>(E91+H91)/2</f>
        <v>1.7003246753246755</v>
      </c>
      <c r="E91" s="219">
        <f>(N91+Q92+W90)/10</f>
        <v>1.05</v>
      </c>
      <c r="F91" s="219">
        <f t="shared" ref="F91:G91" si="174">F89</f>
        <v>0</v>
      </c>
      <c r="G91" s="219">
        <f t="shared" si="174"/>
        <v>0</v>
      </c>
      <c r="H91" s="220">
        <f>N90/3.5+Q90/5.5</f>
        <v>2.3506493506493507</v>
      </c>
      <c r="I91" s="221">
        <f>C91*70+D91*45+E91*25+H91*75+G91*60+F91*150</f>
        <v>748.74958619811559</v>
      </c>
      <c r="J91" s="85" t="s">
        <v>418</v>
      </c>
      <c r="K91" s="92">
        <v>0.4</v>
      </c>
      <c r="L91" s="145" t="str">
        <f t="shared" si="168"/>
        <v>公斤</v>
      </c>
      <c r="M91" s="64" t="s">
        <v>289</v>
      </c>
      <c r="N91" s="64">
        <v>3</v>
      </c>
      <c r="O91" s="145" t="str">
        <f t="shared" si="141"/>
        <v>公斤</v>
      </c>
      <c r="P91" s="64" t="s">
        <v>30</v>
      </c>
      <c r="Q91" s="64">
        <v>1.5</v>
      </c>
      <c r="R91" s="145" t="str">
        <f t="shared" si="142"/>
        <v>公斤</v>
      </c>
      <c r="S91" s="62" t="s">
        <v>170</v>
      </c>
      <c r="T91" s="62">
        <v>1</v>
      </c>
      <c r="U91" s="145" t="str">
        <f t="shared" si="143"/>
        <v>公斤</v>
      </c>
      <c r="V91" s="64" t="s">
        <v>9</v>
      </c>
      <c r="W91" s="64">
        <v>0.05</v>
      </c>
      <c r="X91" s="145" t="str">
        <f t="shared" si="144"/>
        <v>公斤</v>
      </c>
      <c r="Y91" s="133" t="s">
        <v>503</v>
      </c>
      <c r="Z91" s="132">
        <v>2</v>
      </c>
      <c r="AA91" s="145" t="str">
        <f t="shared" si="145"/>
        <v>公斤</v>
      </c>
      <c r="AB91" s="62"/>
      <c r="AC91" s="62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</row>
    <row r="92" spans="1:51" ht="16.2">
      <c r="A92" s="57"/>
      <c r="B92" s="58"/>
      <c r="C92" s="59"/>
      <c r="D92" s="59"/>
      <c r="E92" s="59"/>
      <c r="F92" s="59"/>
      <c r="G92" s="59"/>
      <c r="H92" s="59"/>
      <c r="I92" s="67"/>
      <c r="J92" s="106"/>
      <c r="K92" s="106"/>
      <c r="L92" s="145" t="str">
        <f t="shared" si="140"/>
        <v/>
      </c>
      <c r="M92" s="64" t="s">
        <v>9</v>
      </c>
      <c r="N92" s="64">
        <v>0.05</v>
      </c>
      <c r="O92" s="145" t="str">
        <f t="shared" si="141"/>
        <v>公斤</v>
      </c>
      <c r="P92" s="64" t="s">
        <v>390</v>
      </c>
      <c r="Q92" s="64">
        <v>0.5</v>
      </c>
      <c r="R92" s="145" t="str">
        <f t="shared" si="142"/>
        <v>公斤</v>
      </c>
      <c r="S92" s="62" t="s">
        <v>9</v>
      </c>
      <c r="T92" s="62">
        <v>0.05</v>
      </c>
      <c r="U92" s="145" t="str">
        <f t="shared" si="143"/>
        <v>公斤</v>
      </c>
      <c r="V92" s="64"/>
      <c r="W92" s="64"/>
      <c r="X92" s="145" t="str">
        <f t="shared" si="144"/>
        <v/>
      </c>
      <c r="Y92" s="132" t="s">
        <v>477</v>
      </c>
      <c r="Z92" s="132">
        <v>0.05</v>
      </c>
      <c r="AA92" s="145" t="str">
        <f t="shared" si="145"/>
        <v>公斤</v>
      </c>
      <c r="AB92" s="62"/>
      <c r="AC92" s="62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</row>
    <row r="93" spans="1:51" ht="16.2">
      <c r="A93" s="57"/>
      <c r="B93" s="58"/>
      <c r="C93" s="59"/>
      <c r="D93" s="59"/>
      <c r="E93" s="59"/>
      <c r="F93" s="59"/>
      <c r="G93" s="59"/>
      <c r="H93" s="59"/>
      <c r="I93" s="59"/>
      <c r="J93" s="106"/>
      <c r="K93" s="106"/>
      <c r="L93" s="145" t="str">
        <f t="shared" si="140"/>
        <v/>
      </c>
      <c r="M93" s="64"/>
      <c r="N93" s="64"/>
      <c r="O93" s="145" t="str">
        <f t="shared" si="141"/>
        <v/>
      </c>
      <c r="P93" s="64" t="s">
        <v>9</v>
      </c>
      <c r="Q93" s="64">
        <v>0.05</v>
      </c>
      <c r="R93" s="145" t="str">
        <f t="shared" si="142"/>
        <v>公斤</v>
      </c>
      <c r="S93" s="81"/>
      <c r="T93" s="81"/>
      <c r="U93" s="145" t="str">
        <f t="shared" si="143"/>
        <v/>
      </c>
      <c r="V93" s="64"/>
      <c r="W93" s="64"/>
      <c r="X93" s="145" t="str">
        <f t="shared" si="144"/>
        <v/>
      </c>
      <c r="Y93" s="132"/>
      <c r="Z93" s="132"/>
      <c r="AA93" s="145" t="str">
        <f t="shared" si="145"/>
        <v/>
      </c>
      <c r="AB93" s="62"/>
      <c r="AC93" s="62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</row>
    <row r="94" spans="1:51" ht="16.2">
      <c r="A94" s="57"/>
      <c r="B94" s="58"/>
      <c r="C94" s="59"/>
      <c r="D94" s="59"/>
      <c r="E94" s="59"/>
      <c r="F94" s="59"/>
      <c r="G94" s="59"/>
      <c r="H94" s="59"/>
      <c r="I94" s="59"/>
      <c r="J94" s="106"/>
      <c r="K94" s="106"/>
      <c r="L94" s="145" t="str">
        <f t="shared" si="140"/>
        <v/>
      </c>
      <c r="M94" s="64"/>
      <c r="N94" s="64"/>
      <c r="O94" s="145" t="str">
        <f t="shared" si="141"/>
        <v/>
      </c>
      <c r="P94" s="62" t="s">
        <v>7</v>
      </c>
      <c r="Q94" s="62">
        <v>2.5</v>
      </c>
      <c r="R94" s="145" t="str">
        <f t="shared" si="142"/>
        <v>公斤</v>
      </c>
      <c r="S94" s="64"/>
      <c r="T94" s="64"/>
      <c r="U94" s="145" t="str">
        <f t="shared" si="143"/>
        <v/>
      </c>
      <c r="V94" s="64"/>
      <c r="W94" s="64"/>
      <c r="X94" s="145" t="str">
        <f t="shared" si="144"/>
        <v/>
      </c>
      <c r="Y94" s="132"/>
      <c r="Z94" s="132"/>
      <c r="AA94" s="145" t="str">
        <f t="shared" si="145"/>
        <v/>
      </c>
      <c r="AB94" s="62"/>
      <c r="AC94" s="62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</row>
    <row r="95" spans="1:51" ht="16.8" thickBot="1">
      <c r="A95" s="71"/>
      <c r="B95" s="72"/>
      <c r="C95" s="73"/>
      <c r="D95" s="73"/>
      <c r="E95" s="73"/>
      <c r="F95" s="73"/>
      <c r="G95" s="73"/>
      <c r="H95" s="73"/>
      <c r="I95" s="73"/>
      <c r="J95" s="109"/>
      <c r="K95" s="109"/>
      <c r="L95" s="145" t="str">
        <f t="shared" si="140"/>
        <v/>
      </c>
      <c r="M95" s="75"/>
      <c r="N95" s="75"/>
      <c r="O95" s="145" t="str">
        <f t="shared" si="141"/>
        <v/>
      </c>
      <c r="P95" s="75"/>
      <c r="Q95" s="75"/>
      <c r="R95" s="145" t="str">
        <f t="shared" si="142"/>
        <v/>
      </c>
      <c r="S95" s="75"/>
      <c r="T95" s="75"/>
      <c r="U95" s="145" t="str">
        <f t="shared" si="143"/>
        <v/>
      </c>
      <c r="V95" s="75"/>
      <c r="W95" s="75"/>
      <c r="X95" s="145" t="str">
        <f t="shared" si="144"/>
        <v/>
      </c>
      <c r="Y95" s="136"/>
      <c r="Z95" s="136"/>
      <c r="AA95" s="145" t="str">
        <f t="shared" si="145"/>
        <v/>
      </c>
      <c r="AB95" s="75"/>
      <c r="AC95" s="75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</row>
    <row r="96" spans="1:51" ht="16.2">
      <c r="A96" s="52" t="s">
        <v>18</v>
      </c>
      <c r="B96" s="53" t="s">
        <v>276</v>
      </c>
      <c r="C96" s="54">
        <f>C98</f>
        <v>5</v>
      </c>
      <c r="D96" s="54">
        <f>(E96+H96)/2</f>
        <v>2.535714285714286</v>
      </c>
      <c r="E96" s="54">
        <f>E98+T99/10</f>
        <v>1.85</v>
      </c>
      <c r="F96" s="54">
        <v>0</v>
      </c>
      <c r="G96" s="54">
        <v>0</v>
      </c>
      <c r="H96" s="54">
        <f>H98+T97/5+T98/4</f>
        <v>3.221428571428572</v>
      </c>
      <c r="I96" s="54">
        <f>C96*70+D96*45+E96*25+H96*75+G96*60+F96*150</f>
        <v>751.96428571428578</v>
      </c>
      <c r="J96" s="77" t="s">
        <v>318</v>
      </c>
      <c r="K96" s="78"/>
      <c r="L96" s="66"/>
      <c r="M96" s="263" t="s">
        <v>486</v>
      </c>
      <c r="N96" s="248"/>
      <c r="O96" s="66"/>
      <c r="P96" s="56" t="s">
        <v>393</v>
      </c>
      <c r="Q96" s="56"/>
      <c r="R96" s="66"/>
      <c r="S96" s="77" t="s">
        <v>394</v>
      </c>
      <c r="T96" s="56"/>
      <c r="U96" s="66"/>
      <c r="V96" s="77" t="s">
        <v>92</v>
      </c>
      <c r="W96" s="78"/>
      <c r="X96" s="89"/>
      <c r="Y96" s="77" t="s">
        <v>395</v>
      </c>
      <c r="Z96" s="78"/>
      <c r="AA96" s="91"/>
      <c r="AB96" s="79" t="s">
        <v>283</v>
      </c>
      <c r="AC96" s="79"/>
      <c r="AD96" s="51" t="str">
        <f>A96</f>
        <v>D1</v>
      </c>
      <c r="AE96" s="47" t="str">
        <f>J96</f>
        <v>白米飯</v>
      </c>
      <c r="AF96" s="47" t="str">
        <f>J97&amp;" "&amp;J98&amp;" "&amp;J99&amp;" "&amp;J100&amp;" "&amp;J101&amp;" "&amp;J102</f>
        <v xml:space="preserve">米     </v>
      </c>
      <c r="AG96" s="47" t="str">
        <f>M96</f>
        <v>炸花枝排</v>
      </c>
      <c r="AH96" s="47" t="str">
        <f>M97&amp;" "&amp;M98&amp;" "&amp;M99&amp;" "&amp;M100&amp;" "&amp;M101&amp;" "&amp;M102</f>
        <v xml:space="preserve">花枝排     </v>
      </c>
      <c r="AI96" s="47" t="str">
        <f>P96</f>
        <v>絞肉冬瓜</v>
      </c>
      <c r="AJ96" s="47" t="str">
        <f>P97&amp;" "&amp;P98&amp;" "&amp;P99&amp;" "&amp;P100&amp;" "&amp;P101&amp;" "&amp;P102</f>
        <v xml:space="preserve">豬絞肉 冬瓜 胡蘿蔔 大蒜  </v>
      </c>
      <c r="AK96" s="47" t="str">
        <f>S96</f>
        <v>毛豆干丁</v>
      </c>
      <c r="AL96" s="47" t="str">
        <f>S97&amp;" "&amp;S98&amp;" "&amp;S99&amp;" "&amp;S100&amp;" "&amp;S101&amp;" "&amp;S102</f>
        <v xml:space="preserve">冷凍毛豆仁 豆干 胡蘿蔔 生鮮花生仁 香油 </v>
      </c>
      <c r="AM96" s="47" t="str">
        <f>V96</f>
        <v>時蔬</v>
      </c>
      <c r="AN96" s="47" t="str">
        <f>V97&amp;" "&amp;V98&amp;" "&amp;V99&amp;" "&amp;V100&amp;" "&amp;V101&amp;" "&amp;V102</f>
        <v xml:space="preserve">蔬菜 大蒜    </v>
      </c>
      <c r="AO96" s="47" t="str">
        <f>Y96</f>
        <v>蘿蔔湯</v>
      </c>
      <c r="AP96" s="47" t="str">
        <f>Y97&amp;" "&amp;Y98&amp;" "&amp;Y99&amp;" "&amp;Y100&amp;" "&amp;Y101&amp;" "&amp;Y102</f>
        <v xml:space="preserve">白蘿蔔 大骨 薑   </v>
      </c>
      <c r="AQ96" s="51" t="str">
        <f>AB96</f>
        <v>點心</v>
      </c>
      <c r="AR96" s="51">
        <f>AC96</f>
        <v>0</v>
      </c>
      <c r="AS96" s="86">
        <f t="shared" ref="AS96" si="175">C96</f>
        <v>5</v>
      </c>
      <c r="AT96" s="86">
        <f t="shared" ref="AT96" si="176">H96</f>
        <v>3.221428571428572</v>
      </c>
      <c r="AU96" s="86">
        <f t="shared" ref="AU96" si="177">E96</f>
        <v>1.85</v>
      </c>
      <c r="AV96" s="86">
        <f t="shared" ref="AV96" si="178">D96</f>
        <v>2.535714285714286</v>
      </c>
      <c r="AW96" s="86">
        <f t="shared" ref="AW96" si="179">F96</f>
        <v>0</v>
      </c>
      <c r="AX96" s="86">
        <f t="shared" ref="AX96" si="180">G96</f>
        <v>0</v>
      </c>
      <c r="AY96" s="86">
        <f t="shared" ref="AY96" si="181">I96</f>
        <v>751.96428571428578</v>
      </c>
    </row>
    <row r="97" spans="1:51" ht="16.2">
      <c r="A97" s="57"/>
      <c r="B97" s="58"/>
      <c r="C97" s="59"/>
      <c r="D97" s="59"/>
      <c r="E97" s="59"/>
      <c r="F97" s="59"/>
      <c r="G97" s="59"/>
      <c r="H97" s="59"/>
      <c r="I97" s="60"/>
      <c r="J97" s="61" t="s">
        <v>284</v>
      </c>
      <c r="K97" s="62">
        <v>10</v>
      </c>
      <c r="L97" s="145" t="str">
        <f t="shared" ref="L97:L98" si="182">IF(K97,"公斤","")</f>
        <v>公斤</v>
      </c>
      <c r="M97" s="131" t="s">
        <v>485</v>
      </c>
      <c r="N97" s="132">
        <v>6.5</v>
      </c>
      <c r="O97" s="145" t="str">
        <f t="shared" ref="O97" si="183">IF(N97,"公斤","")</f>
        <v>公斤</v>
      </c>
      <c r="P97" s="64" t="s">
        <v>300</v>
      </c>
      <c r="Q97" s="64">
        <v>1.1000000000000001</v>
      </c>
      <c r="R97" s="145" t="str">
        <f t="shared" ref="R97" si="184">IF(Q97,"公斤","")</f>
        <v>公斤</v>
      </c>
      <c r="S97" s="62" t="s">
        <v>396</v>
      </c>
      <c r="T97" s="62">
        <v>1</v>
      </c>
      <c r="U97" s="145" t="str">
        <f t="shared" ref="U97" si="185">IF(T97,"公斤","")</f>
        <v>公斤</v>
      </c>
      <c r="V97" s="62" t="s">
        <v>223</v>
      </c>
      <c r="W97" s="62">
        <v>7</v>
      </c>
      <c r="X97" s="145" t="str">
        <f t="shared" ref="X97" si="186">IF(W97,"公斤","")</f>
        <v>公斤</v>
      </c>
      <c r="Y97" s="62" t="s">
        <v>290</v>
      </c>
      <c r="Z97" s="62">
        <v>3.5</v>
      </c>
      <c r="AA97" s="145" t="str">
        <f t="shared" ref="AA97" si="187">IF(Z97,"公斤","")</f>
        <v>公斤</v>
      </c>
      <c r="AB97" s="62" t="s">
        <v>283</v>
      </c>
      <c r="AC97" s="62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</row>
    <row r="98" spans="1:51" ht="16.2">
      <c r="A98" s="57"/>
      <c r="B98" s="218" t="s">
        <v>557</v>
      </c>
      <c r="C98" s="219">
        <f>K97/2</f>
        <v>5</v>
      </c>
      <c r="D98" s="219">
        <f>(E98+H98)/2</f>
        <v>2.035714285714286</v>
      </c>
      <c r="E98" s="219">
        <f>(N98+N99+N100+Q98+Q99+W97+Z97)/10</f>
        <v>1.8</v>
      </c>
      <c r="F98" s="219">
        <f t="shared" ref="F98:G98" si="188">F96</f>
        <v>0</v>
      </c>
      <c r="G98" s="219">
        <f t="shared" si="188"/>
        <v>0</v>
      </c>
      <c r="H98" s="220">
        <f>N97/3.5+Q97/3.5+0.1</f>
        <v>2.2714285714285718</v>
      </c>
      <c r="I98" s="221">
        <f>C98*70+D98*45+E98*25+H98*75+G98*60+F98*150</f>
        <v>656.96428571428578</v>
      </c>
      <c r="J98" s="61"/>
      <c r="K98" s="62"/>
      <c r="L98" s="145" t="str">
        <f t="shared" si="182"/>
        <v/>
      </c>
      <c r="M98" s="131"/>
      <c r="N98" s="132"/>
      <c r="O98" s="145" t="str">
        <f t="shared" si="141"/>
        <v/>
      </c>
      <c r="P98" s="64" t="s">
        <v>353</v>
      </c>
      <c r="Q98" s="64">
        <v>7</v>
      </c>
      <c r="R98" s="145" t="str">
        <f t="shared" si="142"/>
        <v>公斤</v>
      </c>
      <c r="S98" s="62" t="s">
        <v>324</v>
      </c>
      <c r="T98" s="62">
        <v>3</v>
      </c>
      <c r="U98" s="145" t="str">
        <f t="shared" si="143"/>
        <v>公斤</v>
      </c>
      <c r="V98" s="62" t="s">
        <v>9</v>
      </c>
      <c r="W98" s="62">
        <v>0.05</v>
      </c>
      <c r="X98" s="145" t="str">
        <f t="shared" si="144"/>
        <v>公斤</v>
      </c>
      <c r="Y98" s="64" t="s">
        <v>311</v>
      </c>
      <c r="Z98" s="64">
        <v>1</v>
      </c>
      <c r="AA98" s="145" t="str">
        <f t="shared" si="145"/>
        <v>公斤</v>
      </c>
      <c r="AB98" s="62"/>
      <c r="AC98" s="62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</row>
    <row r="99" spans="1:51" ht="16.2">
      <c r="A99" s="57"/>
      <c r="B99" s="58"/>
      <c r="C99" s="59"/>
      <c r="D99" s="59"/>
      <c r="E99" s="59"/>
      <c r="F99" s="59"/>
      <c r="G99" s="59"/>
      <c r="H99" s="59"/>
      <c r="I99" s="67"/>
      <c r="J99" s="61"/>
      <c r="K99" s="62"/>
      <c r="L99" s="145" t="str">
        <f t="shared" si="140"/>
        <v/>
      </c>
      <c r="M99" s="134"/>
      <c r="N99" s="132"/>
      <c r="O99" s="145" t="str">
        <f t="shared" si="141"/>
        <v/>
      </c>
      <c r="P99" s="64" t="s">
        <v>8</v>
      </c>
      <c r="Q99" s="64">
        <v>0.5</v>
      </c>
      <c r="R99" s="145" t="str">
        <f t="shared" si="142"/>
        <v>公斤</v>
      </c>
      <c r="S99" s="62" t="s">
        <v>8</v>
      </c>
      <c r="T99" s="62">
        <v>0.5</v>
      </c>
      <c r="U99" s="145" t="str">
        <f t="shared" si="143"/>
        <v>公斤</v>
      </c>
      <c r="V99" s="62"/>
      <c r="W99" s="62"/>
      <c r="X99" s="145" t="str">
        <f t="shared" si="144"/>
        <v/>
      </c>
      <c r="Y99" s="62" t="s">
        <v>117</v>
      </c>
      <c r="Z99" s="62">
        <v>0.05</v>
      </c>
      <c r="AA99" s="145" t="str">
        <f t="shared" si="145"/>
        <v>公斤</v>
      </c>
      <c r="AB99" s="62"/>
      <c r="AC99" s="62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</row>
    <row r="100" spans="1:51" ht="16.2">
      <c r="A100" s="57"/>
      <c r="B100" s="58"/>
      <c r="C100" s="59"/>
      <c r="D100" s="59"/>
      <c r="E100" s="59"/>
      <c r="F100" s="59"/>
      <c r="G100" s="59"/>
      <c r="H100" s="59"/>
      <c r="I100" s="59"/>
      <c r="J100" s="61"/>
      <c r="K100" s="62"/>
      <c r="L100" s="145" t="str">
        <f t="shared" si="140"/>
        <v/>
      </c>
      <c r="M100" s="134"/>
      <c r="N100" s="132"/>
      <c r="O100" s="145" t="str">
        <f t="shared" si="141"/>
        <v/>
      </c>
      <c r="P100" s="64" t="s">
        <v>9</v>
      </c>
      <c r="Q100" s="64">
        <v>0.05</v>
      </c>
      <c r="R100" s="145" t="str">
        <f t="shared" si="142"/>
        <v>公斤</v>
      </c>
      <c r="S100" s="62" t="s">
        <v>398</v>
      </c>
      <c r="T100" s="62">
        <v>1</v>
      </c>
      <c r="U100" s="145" t="str">
        <f t="shared" si="143"/>
        <v>公斤</v>
      </c>
      <c r="V100" s="62"/>
      <c r="W100" s="62"/>
      <c r="X100" s="145" t="str">
        <f t="shared" si="144"/>
        <v/>
      </c>
      <c r="Y100" s="62"/>
      <c r="Z100" s="62"/>
      <c r="AA100" s="145" t="str">
        <f t="shared" si="145"/>
        <v/>
      </c>
      <c r="AB100" s="62"/>
      <c r="AC100" s="62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</row>
    <row r="101" spans="1:51" ht="16.2">
      <c r="A101" s="57"/>
      <c r="B101" s="58"/>
      <c r="C101" s="59"/>
      <c r="D101" s="59"/>
      <c r="E101" s="59"/>
      <c r="F101" s="59"/>
      <c r="G101" s="59"/>
      <c r="H101" s="59"/>
      <c r="I101" s="59"/>
      <c r="J101" s="61"/>
      <c r="K101" s="62"/>
      <c r="L101" s="145" t="str">
        <f t="shared" si="140"/>
        <v/>
      </c>
      <c r="M101" s="134"/>
      <c r="N101" s="132"/>
      <c r="O101" s="145" t="str">
        <f t="shared" si="141"/>
        <v/>
      </c>
      <c r="P101" s="64"/>
      <c r="Q101" s="64"/>
      <c r="R101" s="145" t="str">
        <f t="shared" si="142"/>
        <v/>
      </c>
      <c r="S101" s="62" t="s">
        <v>399</v>
      </c>
      <c r="T101" s="62"/>
      <c r="U101" s="145" t="str">
        <f t="shared" si="143"/>
        <v/>
      </c>
      <c r="V101" s="62"/>
      <c r="W101" s="62"/>
      <c r="X101" s="145" t="str">
        <f t="shared" si="144"/>
        <v/>
      </c>
      <c r="Y101" s="62"/>
      <c r="Z101" s="62"/>
      <c r="AA101" s="145" t="str">
        <f t="shared" si="145"/>
        <v/>
      </c>
      <c r="AB101" s="62"/>
      <c r="AC101" s="62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</row>
    <row r="102" spans="1:51" ht="16.8" thickBot="1">
      <c r="A102" s="71"/>
      <c r="B102" s="72"/>
      <c r="C102" s="73"/>
      <c r="D102" s="73"/>
      <c r="E102" s="73"/>
      <c r="F102" s="73"/>
      <c r="G102" s="73"/>
      <c r="H102" s="73"/>
      <c r="I102" s="73"/>
      <c r="J102" s="74"/>
      <c r="K102" s="75"/>
      <c r="L102" s="145" t="str">
        <f t="shared" si="140"/>
        <v/>
      </c>
      <c r="M102" s="135"/>
      <c r="N102" s="136"/>
      <c r="O102" s="145" t="str">
        <f t="shared" si="141"/>
        <v/>
      </c>
      <c r="P102" s="84"/>
      <c r="Q102" s="84"/>
      <c r="R102" s="145" t="str">
        <f t="shared" si="142"/>
        <v/>
      </c>
      <c r="S102" s="75"/>
      <c r="T102" s="75"/>
      <c r="U102" s="145" t="str">
        <f t="shared" si="143"/>
        <v/>
      </c>
      <c r="V102" s="75"/>
      <c r="W102" s="75"/>
      <c r="X102" s="145" t="str">
        <f t="shared" si="144"/>
        <v/>
      </c>
      <c r="Y102" s="75"/>
      <c r="Z102" s="75"/>
      <c r="AA102" s="145" t="str">
        <f t="shared" si="145"/>
        <v/>
      </c>
      <c r="AB102" s="75"/>
      <c r="AC102" s="75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</row>
    <row r="103" spans="1:51" ht="16.2">
      <c r="A103" s="52" t="s">
        <v>19</v>
      </c>
      <c r="B103" s="53" t="s">
        <v>276</v>
      </c>
      <c r="C103" s="54">
        <f>C105</f>
        <v>5</v>
      </c>
      <c r="D103" s="54">
        <f>(E103+H103)/2</f>
        <v>2.6115454545454546</v>
      </c>
      <c r="E103" s="54">
        <f>E105+T105/10</f>
        <v>2.504</v>
      </c>
      <c r="F103" s="54">
        <v>0</v>
      </c>
      <c r="G103" s="54">
        <v>0</v>
      </c>
      <c r="H103" s="54">
        <f>H105+T104/5.5</f>
        <v>2.7190909090909092</v>
      </c>
      <c r="I103" s="54">
        <f>C103*70+D103*45+E103*25+H103*75+G103*60+F103*150</f>
        <v>734.0513636363637</v>
      </c>
      <c r="J103" s="77" t="s">
        <v>295</v>
      </c>
      <c r="K103" s="78"/>
      <c r="L103" s="66"/>
      <c r="M103" s="77" t="s">
        <v>400</v>
      </c>
      <c r="N103" s="56"/>
      <c r="O103" s="66"/>
      <c r="P103" s="77" t="s">
        <v>401</v>
      </c>
      <c r="Q103" s="56"/>
      <c r="R103" s="66"/>
      <c r="S103" s="77" t="s">
        <v>402</v>
      </c>
      <c r="T103" s="78"/>
      <c r="U103" s="66"/>
      <c r="V103" s="77" t="s">
        <v>92</v>
      </c>
      <c r="W103" s="78"/>
      <c r="X103" s="89"/>
      <c r="Y103" s="77" t="s">
        <v>366</v>
      </c>
      <c r="Z103" s="56"/>
      <c r="AA103" s="91"/>
      <c r="AB103" s="79" t="s">
        <v>283</v>
      </c>
      <c r="AC103" s="80"/>
      <c r="AD103" s="51" t="str">
        <f>A103</f>
        <v>D2</v>
      </c>
      <c r="AE103" s="47" t="str">
        <f>J103</f>
        <v>糙米飯</v>
      </c>
      <c r="AF103" s="47" t="str">
        <f>J104&amp;" "&amp;J105&amp;" "&amp;J106&amp;" "&amp;J107&amp;" "&amp;J108&amp;" "&amp;J109</f>
        <v xml:space="preserve">米 糙米    </v>
      </c>
      <c r="AG103" s="47" t="str">
        <f>M103</f>
        <v>台式蔥油雞</v>
      </c>
      <c r="AH103" s="47" t="str">
        <f>M104&amp;" "&amp;M105&amp;" "&amp;M106&amp;" "&amp;M107&amp;" "&amp;M108&amp;" "&amp;M109</f>
        <v xml:space="preserve">肉雞 甘藍 青蔥 紅蔥頭  </v>
      </c>
      <c r="AI103" s="47" t="str">
        <f>P103</f>
        <v>塔香海根</v>
      </c>
      <c r="AJ103" s="47" t="str">
        <f>P104&amp;" "&amp;P105&amp;" "&amp;P106&amp;" "&amp;P107&amp;" "&amp;P108&amp;" "&amp;P109</f>
        <v xml:space="preserve">乾海帶 九層塔 大蒜   </v>
      </c>
      <c r="AK103" s="47" t="str">
        <f>S103</f>
        <v>紅仁炒蛋</v>
      </c>
      <c r="AL103" s="47" t="str">
        <f>S104&amp;" "&amp;S105&amp;" "&amp;S106&amp;" "&amp;S107&amp;" "&amp;S108&amp;" "&amp;S109</f>
        <v xml:space="preserve">雞蛋 胡蘿蔔 大蒜   </v>
      </c>
      <c r="AM103" s="47" t="str">
        <f>V103</f>
        <v>時蔬</v>
      </c>
      <c r="AN103" s="47" t="str">
        <f>V104&amp;" "&amp;V105&amp;" "&amp;V106&amp;" "&amp;V107&amp;" "&amp;V108&amp;" "&amp;V109</f>
        <v xml:space="preserve">蔬菜 大蒜    </v>
      </c>
      <c r="AO103" s="47" t="str">
        <f>Y103</f>
        <v>時蔬大骨湯</v>
      </c>
      <c r="AP103" s="47" t="str">
        <f>Y104&amp;" "&amp;Y105&amp;" "&amp;Y106&amp;" "&amp;Y107&amp;" "&amp;Y108&amp;" "&amp;Y109</f>
        <v xml:space="preserve">時蔬 大骨 薑 枸杞  </v>
      </c>
      <c r="AQ103" s="51" t="str">
        <f>AB103</f>
        <v>點心</v>
      </c>
      <c r="AR103" s="51">
        <f>AC103</f>
        <v>0</v>
      </c>
      <c r="AS103" s="86">
        <f t="shared" ref="AS103" si="189">C103</f>
        <v>5</v>
      </c>
      <c r="AT103" s="86">
        <f t="shared" ref="AT103" si="190">H103</f>
        <v>2.7190909090909092</v>
      </c>
      <c r="AU103" s="86">
        <f t="shared" ref="AU103" si="191">E103</f>
        <v>2.504</v>
      </c>
      <c r="AV103" s="86">
        <f t="shared" ref="AV103" si="192">D103</f>
        <v>2.6115454545454546</v>
      </c>
      <c r="AW103" s="86">
        <f t="shared" ref="AW103" si="193">F103</f>
        <v>0</v>
      </c>
      <c r="AX103" s="86">
        <f t="shared" ref="AX103" si="194">G103</f>
        <v>0</v>
      </c>
      <c r="AY103" s="86">
        <f t="shared" ref="AY103" si="195">I103</f>
        <v>734.0513636363637</v>
      </c>
    </row>
    <row r="104" spans="1:51" ht="16.2">
      <c r="A104" s="57"/>
      <c r="B104" s="58"/>
      <c r="C104" s="59"/>
      <c r="D104" s="59"/>
      <c r="E104" s="59"/>
      <c r="F104" s="59"/>
      <c r="G104" s="59"/>
      <c r="H104" s="59"/>
      <c r="I104" s="60"/>
      <c r="J104" s="61" t="s">
        <v>284</v>
      </c>
      <c r="K104" s="62">
        <v>7</v>
      </c>
      <c r="L104" s="145" t="str">
        <f t="shared" ref="L104:L105" si="196">IF(K104,"公斤","")</f>
        <v>公斤</v>
      </c>
      <c r="M104" s="62" t="s">
        <v>6</v>
      </c>
      <c r="N104" s="62">
        <v>9</v>
      </c>
      <c r="O104" s="145" t="str">
        <f t="shared" ref="O104" si="197">IF(N104,"公斤","")</f>
        <v>公斤</v>
      </c>
      <c r="P104" s="62" t="s">
        <v>403</v>
      </c>
      <c r="Q104" s="62">
        <v>3.6</v>
      </c>
      <c r="R104" s="145" t="str">
        <f t="shared" ref="R104" si="198">IF(Q104,"公斤","")</f>
        <v>公斤</v>
      </c>
      <c r="S104" s="62" t="s">
        <v>28</v>
      </c>
      <c r="T104" s="62">
        <v>1.7</v>
      </c>
      <c r="U104" s="145" t="str">
        <f t="shared" ref="U104" si="199">IF(T104,"公斤","")</f>
        <v>公斤</v>
      </c>
      <c r="V104" s="62" t="s">
        <v>223</v>
      </c>
      <c r="W104" s="62">
        <v>7</v>
      </c>
      <c r="X104" s="145" t="str">
        <f t="shared" ref="X104" si="200">IF(W104,"公斤","")</f>
        <v>公斤</v>
      </c>
      <c r="Y104" s="62" t="s">
        <v>92</v>
      </c>
      <c r="Z104" s="62">
        <v>3.5</v>
      </c>
      <c r="AA104" s="145" t="str">
        <f t="shared" ref="AA104" si="201">IF(Z104,"公斤","")</f>
        <v>公斤</v>
      </c>
      <c r="AB104" s="62" t="s">
        <v>283</v>
      </c>
      <c r="AC104" s="62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</row>
    <row r="105" spans="1:51" ht="16.2">
      <c r="A105" s="57"/>
      <c r="B105" s="218" t="s">
        <v>557</v>
      </c>
      <c r="C105" s="219">
        <f>K104/2+K105/2</f>
        <v>5</v>
      </c>
      <c r="D105" s="219">
        <f>(E105+H105)/2</f>
        <v>2.1819999999999999</v>
      </c>
      <c r="E105" s="219">
        <f>(N105+N106+Q104*1.4+W104+Z104)/10</f>
        <v>1.954</v>
      </c>
      <c r="F105" s="219">
        <f t="shared" ref="F105:G105" si="202">F103</f>
        <v>0</v>
      </c>
      <c r="G105" s="219">
        <f t="shared" si="202"/>
        <v>0</v>
      </c>
      <c r="H105" s="220">
        <f>N104*0.77/3+0.1</f>
        <v>2.41</v>
      </c>
      <c r="I105" s="221">
        <f>C105*70+D105*45+E105*25+H105*75+G105*60+F105*150</f>
        <v>677.79</v>
      </c>
      <c r="J105" s="61" t="s">
        <v>287</v>
      </c>
      <c r="K105" s="62">
        <v>3</v>
      </c>
      <c r="L105" s="145" t="str">
        <f t="shared" si="196"/>
        <v>公斤</v>
      </c>
      <c r="M105" s="62" t="s">
        <v>289</v>
      </c>
      <c r="N105" s="62">
        <v>3</v>
      </c>
      <c r="O105" s="145" t="str">
        <f t="shared" si="141"/>
        <v>公斤</v>
      </c>
      <c r="P105" s="62" t="s">
        <v>140</v>
      </c>
      <c r="Q105" s="62">
        <v>0.05</v>
      </c>
      <c r="R105" s="145" t="str">
        <f t="shared" si="142"/>
        <v>公斤</v>
      </c>
      <c r="S105" s="62" t="s">
        <v>8</v>
      </c>
      <c r="T105" s="62">
        <v>5.5</v>
      </c>
      <c r="U105" s="145" t="str">
        <f t="shared" si="143"/>
        <v>公斤</v>
      </c>
      <c r="V105" s="62" t="s">
        <v>9</v>
      </c>
      <c r="W105" s="62">
        <v>0.05</v>
      </c>
      <c r="X105" s="145" t="str">
        <f t="shared" si="144"/>
        <v>公斤</v>
      </c>
      <c r="Y105" s="64" t="s">
        <v>311</v>
      </c>
      <c r="Z105" s="64">
        <v>1</v>
      </c>
      <c r="AA105" s="145" t="str">
        <f t="shared" si="145"/>
        <v>公斤</v>
      </c>
      <c r="AB105" s="62"/>
      <c r="AC105" s="62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</row>
    <row r="106" spans="1:51" ht="16.2">
      <c r="A106" s="57"/>
      <c r="B106" s="58"/>
      <c r="C106" s="59"/>
      <c r="D106" s="59"/>
      <c r="E106" s="59"/>
      <c r="F106" s="59"/>
      <c r="G106" s="59"/>
      <c r="H106" s="59"/>
      <c r="I106" s="67"/>
      <c r="J106" s="61"/>
      <c r="K106" s="62"/>
      <c r="L106" s="145" t="str">
        <f t="shared" si="140"/>
        <v/>
      </c>
      <c r="M106" s="62" t="s">
        <v>332</v>
      </c>
      <c r="N106" s="62">
        <v>1</v>
      </c>
      <c r="O106" s="145" t="str">
        <f t="shared" si="141"/>
        <v>公斤</v>
      </c>
      <c r="P106" s="62" t="s">
        <v>9</v>
      </c>
      <c r="Q106" s="62">
        <v>0.05</v>
      </c>
      <c r="R106" s="145" t="str">
        <f t="shared" si="142"/>
        <v>公斤</v>
      </c>
      <c r="S106" s="62" t="s">
        <v>9</v>
      </c>
      <c r="T106" s="62">
        <v>0.05</v>
      </c>
      <c r="U106" s="145" t="str">
        <f t="shared" si="143"/>
        <v>公斤</v>
      </c>
      <c r="V106" s="62"/>
      <c r="W106" s="62"/>
      <c r="X106" s="145" t="str">
        <f t="shared" si="144"/>
        <v/>
      </c>
      <c r="Y106" s="62" t="s">
        <v>117</v>
      </c>
      <c r="Z106" s="62">
        <v>0.05</v>
      </c>
      <c r="AA106" s="145" t="str">
        <f t="shared" si="145"/>
        <v>公斤</v>
      </c>
      <c r="AB106" s="62"/>
      <c r="AC106" s="62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</row>
    <row r="107" spans="1:51" ht="16.2">
      <c r="A107" s="57"/>
      <c r="B107" s="58"/>
      <c r="C107" s="59"/>
      <c r="D107" s="59"/>
      <c r="E107" s="59"/>
      <c r="F107" s="59"/>
      <c r="G107" s="59"/>
      <c r="H107" s="59"/>
      <c r="I107" s="59"/>
      <c r="J107" s="61"/>
      <c r="K107" s="62"/>
      <c r="L107" s="145" t="str">
        <f t="shared" si="140"/>
        <v/>
      </c>
      <c r="M107" s="62" t="s">
        <v>316</v>
      </c>
      <c r="N107" s="62">
        <v>0.05</v>
      </c>
      <c r="O107" s="145" t="str">
        <f t="shared" si="141"/>
        <v>公斤</v>
      </c>
      <c r="P107" s="62"/>
      <c r="Q107" s="62"/>
      <c r="R107" s="145" t="str">
        <f t="shared" si="142"/>
        <v/>
      </c>
      <c r="S107" s="62"/>
      <c r="T107" s="62"/>
      <c r="U107" s="145" t="str">
        <f t="shared" si="143"/>
        <v/>
      </c>
      <c r="V107" s="62"/>
      <c r="W107" s="62"/>
      <c r="X107" s="145" t="str">
        <f t="shared" si="144"/>
        <v/>
      </c>
      <c r="Y107" s="62" t="s">
        <v>179</v>
      </c>
      <c r="Z107" s="62"/>
      <c r="AA107" s="145" t="str">
        <f t="shared" si="145"/>
        <v/>
      </c>
      <c r="AB107" s="62"/>
      <c r="AC107" s="62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</row>
    <row r="108" spans="1:51" ht="16.2">
      <c r="A108" s="57"/>
      <c r="B108" s="58"/>
      <c r="C108" s="59"/>
      <c r="D108" s="59"/>
      <c r="E108" s="59"/>
      <c r="F108" s="59"/>
      <c r="G108" s="59"/>
      <c r="H108" s="59"/>
      <c r="I108" s="59"/>
      <c r="J108" s="61"/>
      <c r="K108" s="62"/>
      <c r="L108" s="145" t="str">
        <f t="shared" si="140"/>
        <v/>
      </c>
      <c r="M108" s="62"/>
      <c r="N108" s="62"/>
      <c r="O108" s="145" t="str">
        <f t="shared" si="141"/>
        <v/>
      </c>
      <c r="P108" s="62"/>
      <c r="Q108" s="62"/>
      <c r="R108" s="145" t="str">
        <f t="shared" si="142"/>
        <v/>
      </c>
      <c r="S108" s="62"/>
      <c r="T108" s="62"/>
      <c r="U108" s="145" t="str">
        <f t="shared" si="143"/>
        <v/>
      </c>
      <c r="V108" s="62"/>
      <c r="W108" s="62"/>
      <c r="X108" s="145" t="str">
        <f t="shared" si="144"/>
        <v/>
      </c>
      <c r="Y108" s="64"/>
      <c r="Z108" s="64"/>
      <c r="AA108" s="145" t="str">
        <f t="shared" si="145"/>
        <v/>
      </c>
      <c r="AB108" s="62"/>
      <c r="AC108" s="62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</row>
    <row r="109" spans="1:51" ht="16.8" thickBot="1">
      <c r="A109" s="71"/>
      <c r="B109" s="72"/>
      <c r="C109" s="73"/>
      <c r="D109" s="73"/>
      <c r="E109" s="73"/>
      <c r="F109" s="73"/>
      <c r="G109" s="73"/>
      <c r="H109" s="73"/>
      <c r="I109" s="73"/>
      <c r="J109" s="74"/>
      <c r="K109" s="75"/>
      <c r="L109" s="145" t="str">
        <f t="shared" si="140"/>
        <v/>
      </c>
      <c r="M109" s="75"/>
      <c r="N109" s="75"/>
      <c r="O109" s="145" t="str">
        <f t="shared" si="141"/>
        <v/>
      </c>
      <c r="P109" s="75"/>
      <c r="Q109" s="75"/>
      <c r="R109" s="145" t="str">
        <f t="shared" si="142"/>
        <v/>
      </c>
      <c r="S109" s="75"/>
      <c r="T109" s="75"/>
      <c r="U109" s="145" t="str">
        <f t="shared" si="143"/>
        <v/>
      </c>
      <c r="V109" s="75"/>
      <c r="W109" s="75"/>
      <c r="X109" s="145" t="str">
        <f t="shared" si="144"/>
        <v/>
      </c>
      <c r="Y109" s="75"/>
      <c r="Z109" s="75"/>
      <c r="AA109" s="145" t="str">
        <f t="shared" si="145"/>
        <v/>
      </c>
      <c r="AB109" s="75"/>
      <c r="AC109" s="75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</row>
    <row r="110" spans="1:51" ht="16.2">
      <c r="A110" s="52" t="s">
        <v>21</v>
      </c>
      <c r="B110" s="53" t="s">
        <v>276</v>
      </c>
      <c r="C110" s="54">
        <f>C112</f>
        <v>2</v>
      </c>
      <c r="D110" s="54">
        <f>(E110+H110)/2</f>
        <v>2.3704545454545451</v>
      </c>
      <c r="E110" s="54">
        <f>E112+(T111+T112+T114)/10</f>
        <v>2.15</v>
      </c>
      <c r="F110" s="54">
        <v>0</v>
      </c>
      <c r="G110" s="54">
        <v>0</v>
      </c>
      <c r="H110" s="54">
        <f>H112+T113/5</f>
        <v>2.5909090909090904</v>
      </c>
      <c r="I110" s="54">
        <f>C110*70+D110*45+E110*25+H110*75+G110*60+F110*150</f>
        <v>494.73863636363626</v>
      </c>
      <c r="J110" s="77" t="s">
        <v>404</v>
      </c>
      <c r="K110" s="78"/>
      <c r="L110" s="66"/>
      <c r="M110" s="55" t="s">
        <v>405</v>
      </c>
      <c r="N110" s="78"/>
      <c r="O110" s="66"/>
      <c r="P110" s="55" t="s">
        <v>406</v>
      </c>
      <c r="Q110" s="78"/>
      <c r="R110" s="66"/>
      <c r="S110" s="55" t="s">
        <v>407</v>
      </c>
      <c r="T110" s="78"/>
      <c r="U110" s="66"/>
      <c r="V110" s="55" t="s">
        <v>92</v>
      </c>
      <c r="W110" s="78"/>
      <c r="X110" s="89"/>
      <c r="Y110" s="55" t="s">
        <v>408</v>
      </c>
      <c r="Z110" s="78"/>
      <c r="AA110" s="91"/>
      <c r="AB110" s="79" t="s">
        <v>283</v>
      </c>
      <c r="AC110" s="80"/>
      <c r="AD110" s="51" t="str">
        <f>A110</f>
        <v>D3</v>
      </c>
      <c r="AE110" s="47" t="str">
        <f>J110</f>
        <v>DIY潛艇堡餐</v>
      </c>
      <c r="AF110" s="47" t="str">
        <f>J111&amp;" "&amp;J112&amp;" "&amp;J113&amp;" "&amp;J114&amp;" "&amp;J115&amp;" "&amp;J116</f>
        <v xml:space="preserve">潛艇堡     </v>
      </c>
      <c r="AG110" s="47" t="str">
        <f>M110</f>
        <v>洋蔥豬柳</v>
      </c>
      <c r="AH110" s="47" t="str">
        <f>M111&amp;" "&amp;M112&amp;" "&amp;M113&amp;" "&amp;M114&amp;" "&amp;M115&amp;" "&amp;M116</f>
        <v xml:space="preserve">豬後腿肉 洋蔥 胡蘿蔔   </v>
      </c>
      <c r="AI110" s="47" t="str">
        <f>P110</f>
        <v>西式配料</v>
      </c>
      <c r="AJ110" s="47" t="str">
        <f>P111&amp;" "&amp;P112&amp;" "&amp;P113&amp;" "&amp;P114&amp;" "&amp;P115&amp;" "&amp;P116</f>
        <v xml:space="preserve">彎管麵 豬絞肉 冷凍玉米粒 馬鈴薯 大番茄 </v>
      </c>
      <c r="AK110" s="47" t="str">
        <f>S110</f>
        <v>蟹味花椰</v>
      </c>
      <c r="AL110" s="47" t="str">
        <f>S111&amp;" "&amp;S112&amp;" "&amp;S113&amp;" "&amp;S114&amp;" "&amp;S115&amp;" "&amp;S116</f>
        <v xml:space="preserve">冷凍花椰菜 胡蘿蔔 冷凍蟹味棒 金針菇 大蒜 </v>
      </c>
      <c r="AM110" s="47" t="str">
        <f>V110</f>
        <v>時蔬</v>
      </c>
      <c r="AN110" s="47" t="str">
        <f>V111&amp;" "&amp;V112&amp;" "&amp;V113&amp;" "&amp;V114&amp;" "&amp;V115&amp;" "&amp;V116</f>
        <v xml:space="preserve">蔬菜 大蒜    </v>
      </c>
      <c r="AO110" s="47" t="str">
        <f>Y110</f>
        <v>南瓜濃湯</v>
      </c>
      <c r="AP110" s="47" t="str">
        <f>Y111&amp;" "&amp;Y112&amp;" "&amp;Y113&amp;" "&amp;Y114&amp;" "&amp;Y115&amp;" "&amp;Y116</f>
        <v xml:space="preserve">雞蛋 南瓜 玉米濃湯調理包 胡蘿蔔  </v>
      </c>
      <c r="AQ110" s="51" t="str">
        <f>AB110</f>
        <v>點心</v>
      </c>
      <c r="AR110" s="51">
        <f>AC110</f>
        <v>0</v>
      </c>
      <c r="AS110" s="86">
        <f t="shared" ref="AS110" si="203">C110</f>
        <v>2</v>
      </c>
      <c r="AT110" s="86">
        <f t="shared" ref="AT110" si="204">H110</f>
        <v>2.5909090909090904</v>
      </c>
      <c r="AU110" s="86">
        <f t="shared" ref="AU110" si="205">E110</f>
        <v>2.15</v>
      </c>
      <c r="AV110" s="86">
        <f t="shared" ref="AV110" si="206">D110</f>
        <v>2.3704545454545451</v>
      </c>
      <c r="AW110" s="86">
        <f t="shared" ref="AW110" si="207">F110</f>
        <v>0</v>
      </c>
      <c r="AX110" s="86">
        <f t="shared" ref="AX110" si="208">G110</f>
        <v>0</v>
      </c>
      <c r="AY110" s="86">
        <f t="shared" ref="AY110" si="209">I110</f>
        <v>494.73863636363626</v>
      </c>
    </row>
    <row r="111" spans="1:51" ht="16.2">
      <c r="A111" s="57"/>
      <c r="B111" s="58"/>
      <c r="C111" s="59"/>
      <c r="D111" s="59"/>
      <c r="E111" s="59"/>
      <c r="F111" s="59"/>
      <c r="G111" s="59"/>
      <c r="H111" s="59"/>
      <c r="I111" s="60"/>
      <c r="J111" s="63" t="s">
        <v>409</v>
      </c>
      <c r="K111" s="64">
        <v>6</v>
      </c>
      <c r="L111" s="145" t="str">
        <f t="shared" ref="L111:L112" si="210">IF(K111,"公斤","")</f>
        <v>公斤</v>
      </c>
      <c r="M111" s="64" t="s">
        <v>291</v>
      </c>
      <c r="N111" s="64">
        <v>6</v>
      </c>
      <c r="O111" s="145" t="str">
        <f t="shared" ref="O111" si="211">IF(N111,"公斤","")</f>
        <v>公斤</v>
      </c>
      <c r="P111" s="64" t="s">
        <v>410</v>
      </c>
      <c r="Q111" s="64">
        <v>3</v>
      </c>
      <c r="R111" s="145" t="str">
        <f t="shared" ref="R111" si="212">IF(Q111,"公斤","")</f>
        <v>公斤</v>
      </c>
      <c r="S111" s="64" t="s">
        <v>113</v>
      </c>
      <c r="T111" s="64">
        <v>6</v>
      </c>
      <c r="U111" s="145" t="str">
        <f t="shared" ref="U111" si="213">IF(T111,"公斤","")</f>
        <v>公斤</v>
      </c>
      <c r="V111" s="64" t="s">
        <v>223</v>
      </c>
      <c r="W111" s="64">
        <v>7</v>
      </c>
      <c r="X111" s="145" t="str">
        <f t="shared" ref="X111" si="214">IF(W111,"公斤","")</f>
        <v>公斤</v>
      </c>
      <c r="Y111" s="64" t="s">
        <v>28</v>
      </c>
      <c r="Z111" s="64">
        <v>0.5</v>
      </c>
      <c r="AA111" s="145" t="str">
        <f t="shared" ref="AA111" si="215">IF(Z111,"公斤","")</f>
        <v>公斤</v>
      </c>
      <c r="AB111" s="62" t="s">
        <v>283</v>
      </c>
      <c r="AC111" s="62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</row>
    <row r="112" spans="1:51" ht="16.2">
      <c r="A112" s="223"/>
      <c r="B112" s="218" t="s">
        <v>557</v>
      </c>
      <c r="C112" s="219">
        <f>K111/3</f>
        <v>2</v>
      </c>
      <c r="D112" s="219">
        <f>(E112+H112)/2</f>
        <v>1.8704545454545451</v>
      </c>
      <c r="E112" s="219">
        <f>(N112+N113+Q115+W111+Z114)/10</f>
        <v>1.45</v>
      </c>
      <c r="F112" s="219">
        <f t="shared" ref="F112:G112" si="216">F110</f>
        <v>0</v>
      </c>
      <c r="G112" s="219">
        <f t="shared" si="216"/>
        <v>0</v>
      </c>
      <c r="H112" s="220">
        <f>N111/3.5+Q112/3.5+Z111/5.5</f>
        <v>2.2909090909090906</v>
      </c>
      <c r="I112" s="221">
        <f>C112*70+D112*45+E112*25+H112*75+G112*60+F112*150</f>
        <v>432.23863636363626</v>
      </c>
      <c r="J112" s="64"/>
      <c r="K112" s="64"/>
      <c r="L112" s="145" t="str">
        <f t="shared" si="210"/>
        <v/>
      </c>
      <c r="M112" s="64" t="s">
        <v>7</v>
      </c>
      <c r="N112" s="64">
        <v>3</v>
      </c>
      <c r="O112" s="145" t="str">
        <f t="shared" si="141"/>
        <v>公斤</v>
      </c>
      <c r="P112" s="64" t="s">
        <v>300</v>
      </c>
      <c r="Q112" s="64">
        <v>1.7</v>
      </c>
      <c r="R112" s="145" t="str">
        <f t="shared" si="142"/>
        <v>公斤</v>
      </c>
      <c r="S112" s="64" t="s">
        <v>8</v>
      </c>
      <c r="T112" s="64">
        <v>0.5</v>
      </c>
      <c r="U112" s="145" t="str">
        <f t="shared" si="143"/>
        <v>公斤</v>
      </c>
      <c r="V112" s="64" t="s">
        <v>9</v>
      </c>
      <c r="W112" s="64">
        <v>0.05</v>
      </c>
      <c r="X112" s="145" t="str">
        <f t="shared" si="144"/>
        <v>公斤</v>
      </c>
      <c r="Y112" s="64" t="s">
        <v>411</v>
      </c>
      <c r="Z112" s="64">
        <v>3</v>
      </c>
      <c r="AA112" s="145" t="str">
        <f t="shared" si="145"/>
        <v>公斤</v>
      </c>
      <c r="AB112" s="62"/>
      <c r="AC112" s="62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</row>
    <row r="113" spans="1:51" ht="16.2">
      <c r="A113" s="57"/>
      <c r="B113" s="58"/>
      <c r="C113" s="59"/>
      <c r="D113" s="59"/>
      <c r="E113" s="59"/>
      <c r="F113" s="59"/>
      <c r="G113" s="59"/>
      <c r="H113" s="59"/>
      <c r="I113" s="67"/>
      <c r="J113" s="64"/>
      <c r="K113" s="64"/>
      <c r="L113" s="145" t="str">
        <f t="shared" si="140"/>
        <v/>
      </c>
      <c r="M113" s="64" t="s">
        <v>8</v>
      </c>
      <c r="N113" s="64">
        <v>1</v>
      </c>
      <c r="O113" s="145" t="str">
        <f t="shared" si="141"/>
        <v>公斤</v>
      </c>
      <c r="P113" s="64" t="s">
        <v>30</v>
      </c>
      <c r="Q113" s="64">
        <v>2</v>
      </c>
      <c r="R113" s="145" t="str">
        <f t="shared" si="142"/>
        <v>公斤</v>
      </c>
      <c r="S113" s="64" t="s">
        <v>412</v>
      </c>
      <c r="T113" s="64">
        <v>1.5</v>
      </c>
      <c r="U113" s="145" t="str">
        <f t="shared" si="143"/>
        <v>公斤</v>
      </c>
      <c r="V113" s="64"/>
      <c r="W113" s="64"/>
      <c r="X113" s="145" t="str">
        <f t="shared" si="144"/>
        <v/>
      </c>
      <c r="Y113" s="64" t="s">
        <v>413</v>
      </c>
      <c r="Z113" s="64"/>
      <c r="AA113" s="145" t="str">
        <f t="shared" si="145"/>
        <v/>
      </c>
      <c r="AB113" s="62"/>
      <c r="AC113" s="62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</row>
    <row r="114" spans="1:51" ht="16.2">
      <c r="A114" s="57"/>
      <c r="B114" s="58"/>
      <c r="C114" s="59"/>
      <c r="D114" s="59"/>
      <c r="E114" s="59"/>
      <c r="F114" s="59"/>
      <c r="G114" s="59"/>
      <c r="H114" s="59"/>
      <c r="I114" s="59"/>
      <c r="J114" s="64"/>
      <c r="K114" s="64"/>
      <c r="L114" s="145" t="str">
        <f t="shared" si="140"/>
        <v/>
      </c>
      <c r="M114" s="62"/>
      <c r="N114" s="62"/>
      <c r="O114" s="145" t="str">
        <f t="shared" si="141"/>
        <v/>
      </c>
      <c r="P114" s="64" t="s">
        <v>31</v>
      </c>
      <c r="Q114" s="64">
        <v>4.5</v>
      </c>
      <c r="R114" s="145" t="str">
        <f t="shared" si="142"/>
        <v>公斤</v>
      </c>
      <c r="S114" s="64" t="s">
        <v>170</v>
      </c>
      <c r="T114" s="64">
        <v>0.5</v>
      </c>
      <c r="U114" s="145" t="str">
        <f t="shared" si="143"/>
        <v>公斤</v>
      </c>
      <c r="V114" s="64"/>
      <c r="W114" s="64"/>
      <c r="X114" s="145" t="str">
        <f t="shared" si="144"/>
        <v/>
      </c>
      <c r="Y114" s="64" t="s">
        <v>8</v>
      </c>
      <c r="Z114" s="64">
        <v>2.5</v>
      </c>
      <c r="AA114" s="145" t="str">
        <f t="shared" si="145"/>
        <v>公斤</v>
      </c>
      <c r="AB114" s="62"/>
      <c r="AC114" s="62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</row>
    <row r="115" spans="1:51" ht="16.2">
      <c r="A115" s="57"/>
      <c r="B115" s="58"/>
      <c r="C115" s="59"/>
      <c r="D115" s="59"/>
      <c r="E115" s="59"/>
      <c r="F115" s="59"/>
      <c r="G115" s="59"/>
      <c r="H115" s="59"/>
      <c r="I115" s="59"/>
      <c r="J115" s="64"/>
      <c r="K115" s="64"/>
      <c r="L115" s="145" t="str">
        <f t="shared" si="140"/>
        <v/>
      </c>
      <c r="M115" s="62"/>
      <c r="N115" s="62"/>
      <c r="O115" s="145" t="str">
        <f t="shared" si="141"/>
        <v/>
      </c>
      <c r="P115" s="64" t="s">
        <v>115</v>
      </c>
      <c r="Q115" s="64">
        <v>1</v>
      </c>
      <c r="R115" s="145" t="str">
        <f t="shared" si="142"/>
        <v>公斤</v>
      </c>
      <c r="S115" s="64" t="s">
        <v>9</v>
      </c>
      <c r="T115" s="64">
        <v>0.05</v>
      </c>
      <c r="U115" s="145" t="str">
        <f t="shared" si="143"/>
        <v>公斤</v>
      </c>
      <c r="V115" s="64"/>
      <c r="W115" s="64"/>
      <c r="X115" s="145" t="str">
        <f t="shared" si="144"/>
        <v/>
      </c>
      <c r="Y115" s="64"/>
      <c r="Z115" s="64"/>
      <c r="AA115" s="145" t="str">
        <f t="shared" si="145"/>
        <v/>
      </c>
      <c r="AB115" s="62"/>
      <c r="AC115" s="62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</row>
    <row r="116" spans="1:51" ht="16.8" thickBot="1">
      <c r="A116" s="71"/>
      <c r="B116" s="72"/>
      <c r="C116" s="73"/>
      <c r="D116" s="73"/>
      <c r="E116" s="73"/>
      <c r="F116" s="73"/>
      <c r="G116" s="73"/>
      <c r="H116" s="73"/>
      <c r="I116" s="73"/>
      <c r="J116" s="74"/>
      <c r="K116" s="75"/>
      <c r="L116" s="145" t="str">
        <f t="shared" si="140"/>
        <v/>
      </c>
      <c r="M116" s="75"/>
      <c r="N116" s="75"/>
      <c r="O116" s="145" t="str">
        <f t="shared" si="141"/>
        <v/>
      </c>
      <c r="P116" s="75"/>
      <c r="Q116" s="75"/>
      <c r="R116" s="145" t="str">
        <f t="shared" si="142"/>
        <v/>
      </c>
      <c r="S116" s="75"/>
      <c r="T116" s="75"/>
      <c r="U116" s="145" t="str">
        <f t="shared" si="143"/>
        <v/>
      </c>
      <c r="V116" s="75"/>
      <c r="W116" s="75"/>
      <c r="X116" s="145" t="str">
        <f t="shared" si="144"/>
        <v/>
      </c>
      <c r="Y116" s="75"/>
      <c r="Z116" s="75"/>
      <c r="AA116" s="145" t="str">
        <f t="shared" si="145"/>
        <v/>
      </c>
      <c r="AB116" s="75"/>
      <c r="AC116" s="75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</row>
    <row r="117" spans="1:51" ht="16.2">
      <c r="A117" s="52" t="s">
        <v>22</v>
      </c>
      <c r="B117" s="53" t="s">
        <v>276</v>
      </c>
      <c r="C117" s="54">
        <f>C119+T119/1.5</f>
        <v>6.5666666666666673</v>
      </c>
      <c r="D117" s="54">
        <f>(E117+H117)/2</f>
        <v>2.3552597402597399</v>
      </c>
      <c r="E117" s="54">
        <f>E119+(T120)/10</f>
        <v>2.1199999999999997</v>
      </c>
      <c r="F117" s="54">
        <v>0</v>
      </c>
      <c r="G117" s="54">
        <v>0</v>
      </c>
      <c r="H117" s="54">
        <f>H119+T118/3.5</f>
        <v>2.5905194805194802</v>
      </c>
      <c r="I117" s="54">
        <f>C117*70+D117*45+E117*25+H117*75+G117*60+F117*150</f>
        <v>812.94231601731599</v>
      </c>
      <c r="J117" s="77" t="s">
        <v>295</v>
      </c>
      <c r="K117" s="78"/>
      <c r="L117" s="66"/>
      <c r="M117" s="77" t="s">
        <v>414</v>
      </c>
      <c r="N117" s="78"/>
      <c r="O117" s="66"/>
      <c r="P117" s="55" t="s">
        <v>415</v>
      </c>
      <c r="Q117" s="78"/>
      <c r="R117" s="66"/>
      <c r="S117" s="55" t="s">
        <v>342</v>
      </c>
      <c r="T117" s="78"/>
      <c r="U117" s="66"/>
      <c r="V117" s="77" t="s">
        <v>92</v>
      </c>
      <c r="W117" s="78"/>
      <c r="X117" s="89"/>
      <c r="Y117" s="77" t="s">
        <v>416</v>
      </c>
      <c r="Z117" s="78"/>
      <c r="AA117" s="91"/>
      <c r="AB117" s="79" t="s">
        <v>283</v>
      </c>
      <c r="AC117" s="80"/>
      <c r="AD117" s="51" t="str">
        <f>A117</f>
        <v>D4</v>
      </c>
      <c r="AE117" s="47" t="str">
        <f>J117</f>
        <v>糙米飯</v>
      </c>
      <c r="AF117" s="47" t="str">
        <f>J118&amp;" "&amp;J119&amp;" "&amp;J120&amp;" "&amp;J121&amp;" "&amp;J122&amp;" "&amp;J123</f>
        <v xml:space="preserve">米 糙米    </v>
      </c>
      <c r="AG117" s="47" t="str">
        <f>M117</f>
        <v>三杯雞</v>
      </c>
      <c r="AH117" s="47" t="str">
        <f>M118&amp;" "&amp;M119&amp;" "&amp;M120&amp;" "&amp;M121&amp;" "&amp;M122&amp;" "&amp;M123</f>
        <v xml:space="preserve">肉雞 洋蔥 胡蘿蔔 九層塔 大蒜 </v>
      </c>
      <c r="AI117" s="47" t="str">
        <f>P117</f>
        <v>蛋香時蔬</v>
      </c>
      <c r="AJ117" s="47" t="str">
        <f>P118&amp;" "&amp;P119&amp;" "&amp;P120&amp;" "&amp;P121&amp;" "&amp;P122&amp;" "&amp;P123</f>
        <v xml:space="preserve">雞蛋 時蔬 乾香菇 大蒜  </v>
      </c>
      <c r="AK117" s="47" t="str">
        <f>S117</f>
        <v>螞蟻上樹</v>
      </c>
      <c r="AL117" s="47" t="str">
        <f>S118&amp;" "&amp;S119&amp;" "&amp;S120&amp;" "&amp;S121&amp;" "&amp;S122&amp;" "&amp;S123</f>
        <v xml:space="preserve">豬絞肉 冬粉 時蔬 乾木耳 大蒜 </v>
      </c>
      <c r="AM117" s="47" t="str">
        <f>V117</f>
        <v>時蔬</v>
      </c>
      <c r="AN117" s="47" t="str">
        <f>V118&amp;" "&amp;V119&amp;" "&amp;V120&amp;" "&amp;V121&amp;" "&amp;V122&amp;" "&amp;V123</f>
        <v xml:space="preserve">蔬菜 大蒜    </v>
      </c>
      <c r="AO117" s="47" t="str">
        <f>Y117</f>
        <v>紅豆紫米湯</v>
      </c>
      <c r="AP117" s="47" t="str">
        <f>Y118&amp;" "&amp;Y119&amp;" "&amp;Y120&amp;" "&amp;Y121&amp;" "&amp;Y122&amp;" "&amp;Y123</f>
        <v xml:space="preserve">紅豆 黑秈糯米 紅砂糖   </v>
      </c>
      <c r="AQ117" s="51" t="str">
        <f>AB117</f>
        <v>點心</v>
      </c>
      <c r="AR117" s="51">
        <f>AC117</f>
        <v>0</v>
      </c>
      <c r="AS117" s="86">
        <f t="shared" ref="AS117" si="217">C117</f>
        <v>6.5666666666666673</v>
      </c>
      <c r="AT117" s="86">
        <f t="shared" ref="AT117" si="218">H117</f>
        <v>2.5905194805194802</v>
      </c>
      <c r="AU117" s="86">
        <f t="shared" ref="AU117" si="219">E117</f>
        <v>2.1199999999999997</v>
      </c>
      <c r="AV117" s="86">
        <f t="shared" ref="AV117" si="220">D117</f>
        <v>2.3552597402597399</v>
      </c>
      <c r="AW117" s="86">
        <f t="shared" ref="AW117" si="221">F117</f>
        <v>0</v>
      </c>
      <c r="AX117" s="86">
        <f t="shared" ref="AX117" si="222">G117</f>
        <v>0</v>
      </c>
      <c r="AY117" s="86">
        <f t="shared" ref="AY117" si="223">I117</f>
        <v>812.94231601731599</v>
      </c>
    </row>
    <row r="118" spans="1:51" ht="16.2">
      <c r="A118" s="57"/>
      <c r="B118" s="58"/>
      <c r="C118" s="59"/>
      <c r="D118" s="59"/>
      <c r="E118" s="59"/>
      <c r="F118" s="59"/>
      <c r="G118" s="59"/>
      <c r="H118" s="59"/>
      <c r="I118" s="60"/>
      <c r="J118" s="61" t="s">
        <v>284</v>
      </c>
      <c r="K118" s="62">
        <v>7</v>
      </c>
      <c r="L118" s="145" t="str">
        <f t="shared" ref="L118:L119" si="224">IF(K118,"公斤","")</f>
        <v>公斤</v>
      </c>
      <c r="M118" s="63" t="s">
        <v>6</v>
      </c>
      <c r="N118" s="64">
        <v>9</v>
      </c>
      <c r="O118" s="145" t="str">
        <f t="shared" ref="O118" si="225">IF(N118,"公斤","")</f>
        <v>公斤</v>
      </c>
      <c r="P118" s="64" t="s">
        <v>28</v>
      </c>
      <c r="Q118" s="64">
        <v>0.6</v>
      </c>
      <c r="R118" s="145" t="str">
        <f t="shared" ref="R118" si="226">IF(Q118,"公斤","")</f>
        <v>公斤</v>
      </c>
      <c r="S118" s="64" t="s">
        <v>300</v>
      </c>
      <c r="T118" s="64">
        <v>0.6</v>
      </c>
      <c r="U118" s="145" t="str">
        <f t="shared" ref="U118" si="227">IF(T118,"公斤","")</f>
        <v>公斤</v>
      </c>
      <c r="V118" s="62" t="s">
        <v>223</v>
      </c>
      <c r="W118" s="62">
        <v>7</v>
      </c>
      <c r="X118" s="145" t="str">
        <f t="shared" ref="X118" si="228">IF(W118,"公斤","")</f>
        <v>公斤</v>
      </c>
      <c r="Y118" s="62" t="s">
        <v>417</v>
      </c>
      <c r="Z118" s="62">
        <v>1</v>
      </c>
      <c r="AA118" s="145" t="str">
        <f t="shared" ref="AA118" si="229">IF(Z118,"公斤","")</f>
        <v>公斤</v>
      </c>
      <c r="AB118" s="62" t="s">
        <v>283</v>
      </c>
      <c r="AC118" s="62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</row>
    <row r="119" spans="1:51" ht="16.2">
      <c r="A119" s="57"/>
      <c r="B119" s="218" t="s">
        <v>557</v>
      </c>
      <c r="C119" s="219">
        <f>K118/2+K119/2+Z118/2.5+Z119/2</f>
        <v>5.9</v>
      </c>
      <c r="D119" s="219">
        <f>(E119+H119)/2</f>
        <v>2.1195454545454542</v>
      </c>
      <c r="E119" s="219">
        <f>(N119+N120+N121+Q119+W118)/10</f>
        <v>1.8199999999999998</v>
      </c>
      <c r="F119" s="219">
        <f t="shared" ref="F119:G119" si="230">F117</f>
        <v>0</v>
      </c>
      <c r="G119" s="219">
        <f t="shared" si="230"/>
        <v>0</v>
      </c>
      <c r="H119" s="220">
        <f>N118*0.77/3+Q118/5.5</f>
        <v>2.419090909090909</v>
      </c>
      <c r="I119" s="221">
        <f>C119*70+D119*45+E119*25+H119*75+G119*60+F119*150</f>
        <v>735.31136363636358</v>
      </c>
      <c r="J119" s="61" t="s">
        <v>287</v>
      </c>
      <c r="K119" s="62">
        <v>3</v>
      </c>
      <c r="L119" s="145" t="str">
        <f t="shared" si="224"/>
        <v>公斤</v>
      </c>
      <c r="M119" s="63" t="s">
        <v>7</v>
      </c>
      <c r="N119" s="64">
        <v>3</v>
      </c>
      <c r="O119" s="145" t="str">
        <f t="shared" si="141"/>
        <v>公斤</v>
      </c>
      <c r="P119" s="64" t="s">
        <v>92</v>
      </c>
      <c r="Q119" s="64">
        <v>7</v>
      </c>
      <c r="R119" s="145" t="str">
        <f t="shared" si="142"/>
        <v>公斤</v>
      </c>
      <c r="S119" s="64" t="s">
        <v>346</v>
      </c>
      <c r="T119" s="64">
        <v>1</v>
      </c>
      <c r="U119" s="145" t="str">
        <f t="shared" si="143"/>
        <v>公斤</v>
      </c>
      <c r="V119" s="62" t="s">
        <v>9</v>
      </c>
      <c r="W119" s="62">
        <v>0.05</v>
      </c>
      <c r="X119" s="145" t="str">
        <f t="shared" si="144"/>
        <v>公斤</v>
      </c>
      <c r="Y119" s="85" t="s">
        <v>418</v>
      </c>
      <c r="Z119" s="62">
        <v>1</v>
      </c>
      <c r="AA119" s="145" t="str">
        <f t="shared" si="145"/>
        <v>公斤</v>
      </c>
      <c r="AB119" s="62"/>
      <c r="AC119" s="62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</row>
    <row r="120" spans="1:51" ht="16.2">
      <c r="A120" s="57"/>
      <c r="B120" s="58"/>
      <c r="C120" s="59"/>
      <c r="D120" s="59"/>
      <c r="E120" s="59"/>
      <c r="F120" s="59"/>
      <c r="G120" s="59"/>
      <c r="H120" s="59"/>
      <c r="I120" s="67"/>
      <c r="J120" s="61"/>
      <c r="K120" s="62"/>
      <c r="L120" s="145" t="str">
        <f t="shared" si="140"/>
        <v/>
      </c>
      <c r="M120" s="63" t="s">
        <v>8</v>
      </c>
      <c r="N120" s="64">
        <v>1</v>
      </c>
      <c r="O120" s="145" t="str">
        <f t="shared" si="141"/>
        <v>公斤</v>
      </c>
      <c r="P120" s="64" t="s">
        <v>419</v>
      </c>
      <c r="Q120" s="64">
        <v>0.01</v>
      </c>
      <c r="R120" s="145" t="str">
        <f t="shared" si="142"/>
        <v>公斤</v>
      </c>
      <c r="S120" s="64" t="s">
        <v>92</v>
      </c>
      <c r="T120" s="64">
        <v>3</v>
      </c>
      <c r="U120" s="145" t="str">
        <f t="shared" si="143"/>
        <v>公斤</v>
      </c>
      <c r="V120" s="62"/>
      <c r="W120" s="62"/>
      <c r="X120" s="145" t="str">
        <f t="shared" si="144"/>
        <v/>
      </c>
      <c r="Y120" s="62" t="s">
        <v>77</v>
      </c>
      <c r="Z120" s="62">
        <v>1</v>
      </c>
      <c r="AA120" s="145" t="str">
        <f t="shared" si="145"/>
        <v>公斤</v>
      </c>
      <c r="AB120" s="62"/>
      <c r="AC120" s="62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</row>
    <row r="121" spans="1:51" ht="16.2">
      <c r="A121" s="57"/>
      <c r="B121" s="58"/>
      <c r="C121" s="59"/>
      <c r="D121" s="59"/>
      <c r="E121" s="59"/>
      <c r="F121" s="59"/>
      <c r="G121" s="59"/>
      <c r="H121" s="59"/>
      <c r="I121" s="59"/>
      <c r="J121" s="61"/>
      <c r="K121" s="62"/>
      <c r="L121" s="145" t="str">
        <f t="shared" si="140"/>
        <v/>
      </c>
      <c r="M121" s="63" t="s">
        <v>140</v>
      </c>
      <c r="N121" s="64">
        <v>0.2</v>
      </c>
      <c r="O121" s="145" t="str">
        <f t="shared" si="141"/>
        <v>公斤</v>
      </c>
      <c r="P121" s="64" t="s">
        <v>9</v>
      </c>
      <c r="Q121" s="64">
        <v>0.05</v>
      </c>
      <c r="R121" s="145" t="str">
        <f t="shared" si="142"/>
        <v>公斤</v>
      </c>
      <c r="S121" s="64" t="s">
        <v>95</v>
      </c>
      <c r="T121" s="64">
        <v>0.01</v>
      </c>
      <c r="U121" s="145" t="str">
        <f t="shared" si="143"/>
        <v>公斤</v>
      </c>
      <c r="V121" s="62"/>
      <c r="W121" s="62"/>
      <c r="X121" s="145" t="str">
        <f t="shared" si="144"/>
        <v/>
      </c>
      <c r="Y121" s="62"/>
      <c r="Z121" s="62"/>
      <c r="AA121" s="145" t="str">
        <f t="shared" si="145"/>
        <v/>
      </c>
      <c r="AB121" s="62"/>
      <c r="AC121" s="62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</row>
    <row r="122" spans="1:51" ht="16.2">
      <c r="A122" s="57"/>
      <c r="B122" s="58"/>
      <c r="C122" s="59"/>
      <c r="D122" s="59"/>
      <c r="E122" s="59"/>
      <c r="F122" s="59"/>
      <c r="G122" s="59"/>
      <c r="H122" s="59"/>
      <c r="I122" s="59"/>
      <c r="J122" s="61"/>
      <c r="K122" s="62"/>
      <c r="L122" s="145" t="str">
        <f t="shared" si="140"/>
        <v/>
      </c>
      <c r="M122" s="63" t="s">
        <v>9</v>
      </c>
      <c r="N122" s="64">
        <v>0.05</v>
      </c>
      <c r="O122" s="145" t="str">
        <f t="shared" si="141"/>
        <v>公斤</v>
      </c>
      <c r="P122" s="64"/>
      <c r="Q122" s="64"/>
      <c r="R122" s="145" t="str">
        <f t="shared" si="142"/>
        <v/>
      </c>
      <c r="S122" s="64" t="s">
        <v>9</v>
      </c>
      <c r="T122" s="64">
        <v>0.05</v>
      </c>
      <c r="U122" s="145" t="str">
        <f t="shared" si="143"/>
        <v>公斤</v>
      </c>
      <c r="V122" s="62"/>
      <c r="W122" s="62"/>
      <c r="X122" s="145" t="str">
        <f t="shared" si="144"/>
        <v/>
      </c>
      <c r="Y122" s="62"/>
      <c r="Z122" s="62"/>
      <c r="AA122" s="145" t="str">
        <f t="shared" si="145"/>
        <v/>
      </c>
      <c r="AB122" s="62"/>
      <c r="AC122" s="62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</row>
    <row r="123" spans="1:51" ht="16.8" thickBot="1">
      <c r="A123" s="71"/>
      <c r="B123" s="72"/>
      <c r="C123" s="73"/>
      <c r="D123" s="73"/>
      <c r="E123" s="73"/>
      <c r="F123" s="73"/>
      <c r="G123" s="73"/>
      <c r="H123" s="73"/>
      <c r="I123" s="73"/>
      <c r="J123" s="74"/>
      <c r="K123" s="75"/>
      <c r="L123" s="145" t="str">
        <f t="shared" si="140"/>
        <v/>
      </c>
      <c r="M123" s="75"/>
      <c r="N123" s="75"/>
      <c r="O123" s="145" t="str">
        <f t="shared" si="141"/>
        <v/>
      </c>
      <c r="P123" s="75"/>
      <c r="Q123" s="75"/>
      <c r="R123" s="145" t="str">
        <f t="shared" si="142"/>
        <v/>
      </c>
      <c r="S123" s="75"/>
      <c r="T123" s="75"/>
      <c r="U123" s="145" t="str">
        <f t="shared" si="143"/>
        <v/>
      </c>
      <c r="V123" s="75"/>
      <c r="W123" s="75"/>
      <c r="X123" s="145" t="str">
        <f t="shared" si="144"/>
        <v/>
      </c>
      <c r="Y123" s="75"/>
      <c r="Z123" s="75"/>
      <c r="AA123" s="145" t="str">
        <f t="shared" si="145"/>
        <v/>
      </c>
      <c r="AB123" s="75"/>
      <c r="AC123" s="75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</row>
    <row r="124" spans="1:51" ht="16.2">
      <c r="A124" s="52" t="s">
        <v>23</v>
      </c>
      <c r="B124" s="53" t="s">
        <v>276</v>
      </c>
      <c r="C124" s="54">
        <f>C126+T127/14</f>
        <v>5.6746031746031749</v>
      </c>
      <c r="D124" s="54">
        <f>(E124+H124)/2</f>
        <v>2.2116883116883117</v>
      </c>
      <c r="E124" s="54">
        <f>E126+(T125+T126)/10</f>
        <v>1.95</v>
      </c>
      <c r="F124" s="54">
        <v>0</v>
      </c>
      <c r="G124" s="54">
        <v>0</v>
      </c>
      <c r="H124" s="54">
        <f>H126+T128/5.5</f>
        <v>2.4733766233766232</v>
      </c>
      <c r="I124" s="54">
        <f>C124*70+D124*45+E124*25+H124*75+G124*60+F124*150</f>
        <v>731.00144300144302</v>
      </c>
      <c r="J124" s="77" t="s">
        <v>420</v>
      </c>
      <c r="K124" s="56"/>
      <c r="L124" s="66"/>
      <c r="M124" s="77" t="s">
        <v>421</v>
      </c>
      <c r="N124" s="78"/>
      <c r="O124" s="66"/>
      <c r="P124" s="77" t="s">
        <v>422</v>
      </c>
      <c r="Q124" s="78"/>
      <c r="R124" s="66"/>
      <c r="S124" s="77" t="s">
        <v>423</v>
      </c>
      <c r="T124" s="78"/>
      <c r="U124" s="66"/>
      <c r="V124" s="77" t="s">
        <v>92</v>
      </c>
      <c r="W124" s="78"/>
      <c r="X124" s="89"/>
      <c r="Y124" s="77" t="s">
        <v>424</v>
      </c>
      <c r="Z124" s="78"/>
      <c r="AA124" s="91"/>
      <c r="AB124" s="79" t="s">
        <v>283</v>
      </c>
      <c r="AC124" s="91" t="s">
        <v>56</v>
      </c>
      <c r="AD124" s="51" t="str">
        <f>A124</f>
        <v>D5</v>
      </c>
      <c r="AE124" s="47" t="str">
        <f>J124</f>
        <v>芝麻飯</v>
      </c>
      <c r="AF124" s="47" t="str">
        <f>J125&amp;" "&amp;J126&amp;" "&amp;J127&amp;" "&amp;J128&amp;" "&amp;J129&amp;" "&amp;J130</f>
        <v xml:space="preserve">米 芝麻(熟)    </v>
      </c>
      <c r="AG124" s="47" t="str">
        <f>M124</f>
        <v>洋芋燒肉</v>
      </c>
      <c r="AH124" s="47" t="str">
        <f>M125&amp;" "&amp;M126&amp;" "&amp;M127&amp;" "&amp;M128&amp;" "&amp;M129&amp;" "&amp;M130</f>
        <v xml:space="preserve">豬後腿肉 馬鈴薯 胡蘿蔔 大蒜  </v>
      </c>
      <c r="AI124" s="47" t="str">
        <f>P124</f>
        <v>鹹蛋玉菜</v>
      </c>
      <c r="AJ124" s="47" t="str">
        <f>P125&amp;" "&amp;P126&amp;" "&amp;P127&amp;" "&amp;P128&amp;" "&amp;P129&amp;" "&amp;P130</f>
        <v xml:space="preserve">甘藍 鴨鹹蛋 胡蘿蔔 大蒜  </v>
      </c>
      <c r="AK124" s="47" t="str">
        <f>S124</f>
        <v>蔬菜佃煮</v>
      </c>
      <c r="AL124" s="47" t="str">
        <f>S125&amp;" "&amp;S126&amp;" "&amp;S127&amp;" "&amp;S128&amp;" "&amp;S129&amp;" "&amp;S130</f>
        <v>胡蘿蔔 白蘿蔔 甜玉米 四角油豆腐 柴魚片 味醂</v>
      </c>
      <c r="AM124" s="47" t="str">
        <f>V124</f>
        <v>時蔬</v>
      </c>
      <c r="AN124" s="47" t="str">
        <f>V125&amp;" "&amp;V126&amp;" "&amp;V127&amp;" "&amp;V128&amp;" "&amp;V129&amp;" "&amp;V130</f>
        <v xml:space="preserve">蔬菜 大蒜    </v>
      </c>
      <c r="AO124" s="47" t="str">
        <f>Y124</f>
        <v>味噌豆腐湯</v>
      </c>
      <c r="AP124" s="47" t="str">
        <f>Y125&amp;" "&amp;Y126&amp;" "&amp;Y127&amp;" "&amp;Y128&amp;" "&amp;Y129&amp;" "&amp;Y130</f>
        <v xml:space="preserve">豆腐 味噌 柴魚片 洋蔥  </v>
      </c>
      <c r="AQ124" s="51" t="str">
        <f>AB124</f>
        <v>點心</v>
      </c>
      <c r="AR124" s="51" t="str">
        <f>AC124</f>
        <v>有機豆奶</v>
      </c>
      <c r="AS124" s="86">
        <f t="shared" ref="AS124" si="231">C124</f>
        <v>5.6746031746031749</v>
      </c>
      <c r="AT124" s="86">
        <f t="shared" ref="AT124" si="232">H124</f>
        <v>2.4733766233766232</v>
      </c>
      <c r="AU124" s="86">
        <f t="shared" ref="AU124" si="233">E124</f>
        <v>1.95</v>
      </c>
      <c r="AV124" s="86">
        <f t="shared" ref="AV124" si="234">D124</f>
        <v>2.2116883116883117</v>
      </c>
      <c r="AW124" s="86">
        <f t="shared" ref="AW124" si="235">F124</f>
        <v>0</v>
      </c>
      <c r="AX124" s="86">
        <f t="shared" ref="AX124" si="236">G124</f>
        <v>0</v>
      </c>
      <c r="AY124" s="86">
        <f t="shared" ref="AY124" si="237">I124</f>
        <v>731.00144300144302</v>
      </c>
    </row>
    <row r="125" spans="1:51" ht="16.2">
      <c r="A125" s="57"/>
      <c r="B125" s="58"/>
      <c r="C125" s="59"/>
      <c r="D125" s="59"/>
      <c r="E125" s="59"/>
      <c r="F125" s="59"/>
      <c r="G125" s="59"/>
      <c r="H125" s="59"/>
      <c r="I125" s="60"/>
      <c r="J125" s="61" t="s">
        <v>284</v>
      </c>
      <c r="K125" s="62">
        <v>10</v>
      </c>
      <c r="L125" s="145" t="str">
        <f t="shared" ref="L125:L126" si="238">IF(K125,"公斤","")</f>
        <v>公斤</v>
      </c>
      <c r="M125" s="62" t="s">
        <v>291</v>
      </c>
      <c r="N125" s="62">
        <v>6</v>
      </c>
      <c r="O125" s="145" t="str">
        <f t="shared" ref="O125" si="239">IF(N125,"公斤","")</f>
        <v>公斤</v>
      </c>
      <c r="P125" s="62" t="s">
        <v>289</v>
      </c>
      <c r="Q125" s="62">
        <v>6.5</v>
      </c>
      <c r="R125" s="145" t="str">
        <f t="shared" ref="R125" si="240">IF(Q125,"公斤","")</f>
        <v>公斤</v>
      </c>
      <c r="S125" s="62" t="s">
        <v>8</v>
      </c>
      <c r="T125" s="62">
        <v>1</v>
      </c>
      <c r="U125" s="145" t="str">
        <f t="shared" ref="U125" si="241">IF(T125,"公斤","")</f>
        <v>公斤</v>
      </c>
      <c r="V125" s="62" t="s">
        <v>223</v>
      </c>
      <c r="W125" s="62">
        <v>7</v>
      </c>
      <c r="X125" s="145" t="str">
        <f t="shared" ref="X125" si="242">IF(W125,"公斤","")</f>
        <v>公斤</v>
      </c>
      <c r="Y125" s="62" t="s">
        <v>220</v>
      </c>
      <c r="Z125" s="62">
        <v>2</v>
      </c>
      <c r="AA125" s="145" t="str">
        <f t="shared" ref="AA125" si="243">IF(Z125,"公斤","")</f>
        <v>公斤</v>
      </c>
      <c r="AB125" s="62" t="s">
        <v>283</v>
      </c>
      <c r="AC125" s="62" t="s">
        <v>56</v>
      </c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</row>
    <row r="126" spans="1:51" ht="16.2">
      <c r="A126" s="57"/>
      <c r="B126" s="218" t="s">
        <v>557</v>
      </c>
      <c r="C126" s="219">
        <f>K125/2+N126/9</f>
        <v>5.3888888888888893</v>
      </c>
      <c r="D126" s="219">
        <f>(E126+H126)/2</f>
        <v>1.907142857142857</v>
      </c>
      <c r="E126" s="219">
        <f>(N127+Q125+Q127+W125+Z128)/10</f>
        <v>1.65</v>
      </c>
      <c r="F126" s="219">
        <f t="shared" ref="F126:G126" si="244">F124</f>
        <v>0</v>
      </c>
      <c r="G126" s="219">
        <f t="shared" si="244"/>
        <v>0</v>
      </c>
      <c r="H126" s="220">
        <f>N125/3.5+Q126/5.5+Z125/8</f>
        <v>2.1642857142857141</v>
      </c>
      <c r="I126" s="221">
        <f>C126*70+D126*45+E126*25+H126*75+G126*60+F126*150</f>
        <v>666.61507936507928</v>
      </c>
      <c r="J126" s="61" t="s">
        <v>322</v>
      </c>
      <c r="K126" s="62">
        <v>0.1</v>
      </c>
      <c r="L126" s="145" t="str">
        <f t="shared" si="238"/>
        <v>公斤</v>
      </c>
      <c r="M126" s="62" t="s">
        <v>31</v>
      </c>
      <c r="N126" s="62">
        <v>3.5</v>
      </c>
      <c r="O126" s="145" t="str">
        <f t="shared" si="141"/>
        <v>公斤</v>
      </c>
      <c r="P126" s="62" t="s">
        <v>425</v>
      </c>
      <c r="Q126" s="62">
        <v>1.1000000000000001</v>
      </c>
      <c r="R126" s="145" t="str">
        <f t="shared" si="142"/>
        <v>公斤</v>
      </c>
      <c r="S126" s="62" t="s">
        <v>290</v>
      </c>
      <c r="T126" s="62">
        <v>2</v>
      </c>
      <c r="U126" s="145" t="str">
        <f t="shared" si="143"/>
        <v>公斤</v>
      </c>
      <c r="V126" s="62" t="s">
        <v>9</v>
      </c>
      <c r="W126" s="62">
        <v>0.05</v>
      </c>
      <c r="X126" s="145" t="str">
        <f t="shared" si="144"/>
        <v>公斤</v>
      </c>
      <c r="Y126" s="62" t="s">
        <v>331</v>
      </c>
      <c r="Z126" s="62">
        <v>0.6</v>
      </c>
      <c r="AA126" s="145" t="str">
        <f t="shared" si="145"/>
        <v>公斤</v>
      </c>
      <c r="AB126" s="62"/>
      <c r="AC126" s="62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</row>
    <row r="127" spans="1:51" ht="16.2">
      <c r="A127" s="57"/>
      <c r="B127" s="58"/>
      <c r="C127" s="59"/>
      <c r="D127" s="59"/>
      <c r="E127" s="59"/>
      <c r="F127" s="59"/>
      <c r="G127" s="59"/>
      <c r="H127" s="59"/>
      <c r="I127" s="67"/>
      <c r="J127" s="61"/>
      <c r="K127" s="62"/>
      <c r="L127" s="145" t="str">
        <f t="shared" si="140"/>
        <v/>
      </c>
      <c r="M127" s="62" t="s">
        <v>8</v>
      </c>
      <c r="N127" s="62">
        <v>0.5</v>
      </c>
      <c r="O127" s="145" t="str">
        <f t="shared" si="141"/>
        <v>公斤</v>
      </c>
      <c r="P127" s="62" t="s">
        <v>8</v>
      </c>
      <c r="Q127" s="62">
        <v>0.5</v>
      </c>
      <c r="R127" s="145" t="str">
        <f t="shared" si="142"/>
        <v>公斤</v>
      </c>
      <c r="S127" s="62" t="s">
        <v>426</v>
      </c>
      <c r="T127" s="62">
        <v>4</v>
      </c>
      <c r="U127" s="145" t="str">
        <f t="shared" si="143"/>
        <v>公斤</v>
      </c>
      <c r="V127" s="62"/>
      <c r="W127" s="62"/>
      <c r="X127" s="145" t="str">
        <f t="shared" si="144"/>
        <v/>
      </c>
      <c r="Y127" s="62" t="s">
        <v>315</v>
      </c>
      <c r="Z127" s="62">
        <v>0.01</v>
      </c>
      <c r="AA127" s="145" t="str">
        <f t="shared" si="145"/>
        <v>公斤</v>
      </c>
      <c r="AB127" s="62"/>
      <c r="AC127" s="62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</row>
    <row r="128" spans="1:51" ht="16.2">
      <c r="A128" s="57"/>
      <c r="B128" s="58"/>
      <c r="C128" s="59"/>
      <c r="D128" s="59"/>
      <c r="E128" s="59"/>
      <c r="F128" s="59"/>
      <c r="G128" s="59"/>
      <c r="H128" s="59"/>
      <c r="I128" s="59"/>
      <c r="J128" s="61"/>
      <c r="K128" s="62"/>
      <c r="L128" s="145" t="str">
        <f t="shared" si="140"/>
        <v/>
      </c>
      <c r="M128" s="62" t="s">
        <v>9</v>
      </c>
      <c r="N128" s="62">
        <v>0.05</v>
      </c>
      <c r="O128" s="145" t="str">
        <f t="shared" si="141"/>
        <v>公斤</v>
      </c>
      <c r="P128" s="62" t="s">
        <v>9</v>
      </c>
      <c r="Q128" s="62">
        <v>0.05</v>
      </c>
      <c r="R128" s="145" t="str">
        <f t="shared" si="142"/>
        <v>公斤</v>
      </c>
      <c r="S128" s="62" t="s">
        <v>74</v>
      </c>
      <c r="T128" s="62">
        <v>1.7</v>
      </c>
      <c r="U128" s="145" t="str">
        <f t="shared" si="143"/>
        <v>公斤</v>
      </c>
      <c r="V128" s="62"/>
      <c r="W128" s="62"/>
      <c r="X128" s="145" t="str">
        <f t="shared" si="144"/>
        <v/>
      </c>
      <c r="Y128" s="62" t="s">
        <v>7</v>
      </c>
      <c r="Z128" s="62">
        <v>2</v>
      </c>
      <c r="AA128" s="145" t="str">
        <f t="shared" si="145"/>
        <v>公斤</v>
      </c>
      <c r="AB128" s="62"/>
      <c r="AC128" s="62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</row>
    <row r="129" spans="1:51" ht="16.2">
      <c r="A129" s="57"/>
      <c r="B129" s="58"/>
      <c r="C129" s="59"/>
      <c r="D129" s="59"/>
      <c r="E129" s="59"/>
      <c r="F129" s="59"/>
      <c r="G129" s="59"/>
      <c r="H129" s="59"/>
      <c r="I129" s="59"/>
      <c r="J129" s="61"/>
      <c r="K129" s="62"/>
      <c r="L129" s="145" t="str">
        <f t="shared" si="140"/>
        <v/>
      </c>
      <c r="M129" s="62"/>
      <c r="N129" s="62"/>
      <c r="O129" s="145" t="str">
        <f t="shared" si="141"/>
        <v/>
      </c>
      <c r="P129" s="62"/>
      <c r="Q129" s="62"/>
      <c r="R129" s="145" t="str">
        <f t="shared" si="142"/>
        <v/>
      </c>
      <c r="S129" s="62" t="s">
        <v>315</v>
      </c>
      <c r="T129" s="62">
        <v>0.01</v>
      </c>
      <c r="U129" s="145" t="str">
        <f t="shared" si="143"/>
        <v>公斤</v>
      </c>
      <c r="V129" s="62"/>
      <c r="W129" s="62"/>
      <c r="X129" s="145" t="str">
        <f t="shared" si="144"/>
        <v/>
      </c>
      <c r="Y129" s="62"/>
      <c r="Z129" s="62"/>
      <c r="AA129" s="145" t="str">
        <f t="shared" si="145"/>
        <v/>
      </c>
      <c r="AB129" s="62"/>
      <c r="AC129" s="62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</row>
    <row r="130" spans="1:51" ht="16.8" thickBot="1">
      <c r="A130" s="71"/>
      <c r="B130" s="72"/>
      <c r="C130" s="73"/>
      <c r="D130" s="73"/>
      <c r="E130" s="73"/>
      <c r="F130" s="73"/>
      <c r="G130" s="73"/>
      <c r="H130" s="73"/>
      <c r="I130" s="73"/>
      <c r="J130" s="74"/>
      <c r="K130" s="75"/>
      <c r="L130" s="145" t="str">
        <f t="shared" si="140"/>
        <v/>
      </c>
      <c r="M130" s="75"/>
      <c r="N130" s="75"/>
      <c r="O130" s="145" t="str">
        <f t="shared" si="141"/>
        <v/>
      </c>
      <c r="P130" s="75"/>
      <c r="Q130" s="75"/>
      <c r="R130" s="145" t="str">
        <f t="shared" si="142"/>
        <v/>
      </c>
      <c r="S130" s="75" t="s">
        <v>427</v>
      </c>
      <c r="T130" s="74">
        <v>0.01</v>
      </c>
      <c r="U130" s="145" t="str">
        <f t="shared" si="143"/>
        <v>公斤</v>
      </c>
      <c r="V130" s="75"/>
      <c r="W130" s="75"/>
      <c r="X130" s="145" t="str">
        <f t="shared" si="144"/>
        <v/>
      </c>
      <c r="Y130" s="75"/>
      <c r="Z130" s="75"/>
      <c r="AA130" s="145" t="str">
        <f t="shared" si="145"/>
        <v/>
      </c>
      <c r="AB130" s="75"/>
      <c r="AC130" s="75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</row>
    <row r="131" spans="1:51" ht="16.2">
      <c r="A131" s="130" t="s">
        <v>483</v>
      </c>
      <c r="B131" s="53" t="s">
        <v>276</v>
      </c>
      <c r="C131" s="54">
        <f>C133</f>
        <v>5.4</v>
      </c>
      <c r="D131" s="54">
        <f>(E131+H131)/2</f>
        <v>2.4382142857142854</v>
      </c>
      <c r="E131" s="54">
        <f>E133+(T133+T134)/10</f>
        <v>1.8050000000000002</v>
      </c>
      <c r="F131" s="54">
        <v>0</v>
      </c>
      <c r="G131" s="54">
        <v>0</v>
      </c>
      <c r="H131" s="54">
        <f>H133+T132/1</f>
        <v>3.0714285714285712</v>
      </c>
      <c r="I131" s="54">
        <f>C131*70+D131*45+E131*25+H131*75+G131*60+F131*150</f>
        <v>763.20178571428573</v>
      </c>
      <c r="J131" s="77" t="s">
        <v>384</v>
      </c>
      <c r="K131" s="78"/>
      <c r="L131" s="66"/>
      <c r="M131" s="77" t="s">
        <v>392</v>
      </c>
      <c r="N131" s="78"/>
      <c r="O131" s="66"/>
      <c r="P131" s="255" t="s">
        <v>481</v>
      </c>
      <c r="Q131" s="256"/>
      <c r="R131" s="66"/>
      <c r="S131" s="247" t="s">
        <v>487</v>
      </c>
      <c r="T131" s="248"/>
      <c r="U131" s="66"/>
      <c r="V131" s="77" t="s">
        <v>92</v>
      </c>
      <c r="W131" s="78"/>
      <c r="X131" s="89"/>
      <c r="Y131" s="55" t="s">
        <v>387</v>
      </c>
      <c r="Z131" s="78"/>
      <c r="AA131" s="91"/>
      <c r="AB131" s="79" t="s">
        <v>283</v>
      </c>
      <c r="AC131" s="79"/>
      <c r="AD131" s="51" t="str">
        <f>A131</f>
        <v>E5</v>
      </c>
      <c r="AE131" s="47" t="str">
        <f>J131</f>
        <v>燕麥飯</v>
      </c>
      <c r="AF131" s="47" t="str">
        <f>J132&amp;" "&amp;J133&amp;" "&amp;J134&amp;" "&amp;J135&amp;" "&amp;J136&amp;" "&amp;J137</f>
        <v xml:space="preserve">米 燕麥    </v>
      </c>
      <c r="AG131" s="47" t="str">
        <f>M131</f>
        <v>彩椒肉片</v>
      </c>
      <c r="AH131" s="47" t="str">
        <f>M132&amp;" "&amp;M133&amp;" "&amp;M134&amp;" "&amp;M135&amp;" "&amp;M136&amp;" "&amp;M137</f>
        <v>豬後腿肉 洋蔥 胡蘿蔔 甜椒(黃皮) 大蒜 味噌</v>
      </c>
      <c r="AI131" s="47" t="str">
        <f>P131</f>
        <v>鮮菇豆腐</v>
      </c>
      <c r="AJ131" s="47" t="str">
        <f>P132&amp;" "&amp;P133&amp;" "&amp;P134&amp;" "&amp;P135&amp;" "&amp;P136&amp;" "&amp;P137</f>
        <v xml:space="preserve">鴻喜菇 豆腐 胡蘿蔔 大蒜  </v>
      </c>
      <c r="AK131" s="47" t="str">
        <f>S131</f>
        <v>魚干時瓜</v>
      </c>
      <c r="AL131" s="47" t="str">
        <f>S132&amp;" "&amp;S133&amp;" "&amp;S134&amp;" "&amp;S135&amp;" "&amp;S136&amp;" "&amp;S137</f>
        <v xml:space="preserve">小魚干 時瓜 胡蘿蔔 大蒜  </v>
      </c>
      <c r="AM131" s="47" t="str">
        <f>V131</f>
        <v>時蔬</v>
      </c>
      <c r="AN131" s="47" t="str">
        <f>V132&amp;" "&amp;V133&amp;" "&amp;V134&amp;" "&amp;V135&amp;" "&amp;V136&amp;" "&amp;V137</f>
        <v xml:space="preserve">蔬菜 大蒜    </v>
      </c>
      <c r="AO131" s="47" t="str">
        <f>Y131</f>
        <v>金針冬菜粉絲湯</v>
      </c>
      <c r="AP131" s="47" t="str">
        <f>Y132&amp;" "&amp;Y133&amp;" "&amp;Y134&amp;" "&amp;Y135&amp;" "&amp;Y136&amp;" "&amp;Y137</f>
        <v xml:space="preserve">金針菜乾 冬粉 豬後腿肉 醃製冬菜 薑 </v>
      </c>
      <c r="AQ131" s="51" t="str">
        <f>AB131</f>
        <v>點心</v>
      </c>
      <c r="AR131" s="51">
        <f>AC131</f>
        <v>0</v>
      </c>
      <c r="AS131" s="86">
        <f t="shared" ref="AS131" si="245">C131</f>
        <v>5.4</v>
      </c>
      <c r="AT131" s="86">
        <f t="shared" ref="AT131" si="246">H131</f>
        <v>3.0714285714285712</v>
      </c>
      <c r="AU131" s="86">
        <f t="shared" ref="AU131" si="247">E131</f>
        <v>1.8050000000000002</v>
      </c>
      <c r="AV131" s="86">
        <f t="shared" ref="AV131" si="248">D131</f>
        <v>2.4382142857142854</v>
      </c>
      <c r="AW131" s="86">
        <f t="shared" ref="AW131" si="249">F131</f>
        <v>0</v>
      </c>
      <c r="AX131" s="86">
        <f t="shared" ref="AX131" si="250">G131</f>
        <v>0</v>
      </c>
      <c r="AY131" s="86">
        <f t="shared" ref="AY131" si="251">I131</f>
        <v>763.20178571428573</v>
      </c>
    </row>
    <row r="132" spans="1:51" ht="16.2">
      <c r="A132" s="57"/>
      <c r="B132" s="58"/>
      <c r="C132" s="59"/>
      <c r="D132" s="59"/>
      <c r="E132" s="59"/>
      <c r="F132" s="59"/>
      <c r="G132" s="59"/>
      <c r="H132" s="59"/>
      <c r="I132" s="60"/>
      <c r="J132" s="64" t="s">
        <v>284</v>
      </c>
      <c r="K132" s="64">
        <v>10</v>
      </c>
      <c r="L132" s="145" t="str">
        <f t="shared" ref="L132:L133" si="252">IF(K132,"公斤","")</f>
        <v>公斤</v>
      </c>
      <c r="M132" s="62" t="s">
        <v>291</v>
      </c>
      <c r="N132" s="62">
        <v>6</v>
      </c>
      <c r="O132" s="145" t="str">
        <f t="shared" ref="O132" si="253">IF(N132,"公斤","")</f>
        <v>公斤</v>
      </c>
      <c r="P132" s="132" t="s">
        <v>478</v>
      </c>
      <c r="Q132" s="132">
        <v>3</v>
      </c>
      <c r="R132" s="145" t="str">
        <f t="shared" ref="R132" si="254">IF(Q132,"公斤","")</f>
        <v>公斤</v>
      </c>
      <c r="S132" s="133" t="s">
        <v>489</v>
      </c>
      <c r="T132" s="132">
        <v>0.4</v>
      </c>
      <c r="U132" s="145" t="str">
        <f t="shared" ref="U132" si="255">IF(T132,"公斤","")</f>
        <v>公斤</v>
      </c>
      <c r="V132" s="62" t="s">
        <v>223</v>
      </c>
      <c r="W132" s="62">
        <v>7</v>
      </c>
      <c r="X132" s="145" t="str">
        <f t="shared" ref="X132" si="256">IF(W132,"公斤","")</f>
        <v>公斤</v>
      </c>
      <c r="Y132" s="64" t="s">
        <v>388</v>
      </c>
      <c r="Z132" s="64">
        <v>0.2</v>
      </c>
      <c r="AA132" s="145" t="str">
        <f t="shared" ref="AA132" si="257">IF(Z132,"公斤","")</f>
        <v>公斤</v>
      </c>
      <c r="AB132" s="62" t="s">
        <v>283</v>
      </c>
      <c r="AC132" s="62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</row>
    <row r="133" spans="1:51" ht="16.2">
      <c r="A133" s="57"/>
      <c r="B133" s="218" t="s">
        <v>557</v>
      </c>
      <c r="C133" s="219">
        <f>K132/2+Z133/1.5+K133/2</f>
        <v>5.4</v>
      </c>
      <c r="D133" s="219">
        <f>(E133+H133)/2</f>
        <v>1.9132142857142855</v>
      </c>
      <c r="E133" s="219">
        <f>(Q132+Q134+W132+Z132*5+Z135)/10</f>
        <v>1.155</v>
      </c>
      <c r="F133" s="219">
        <f t="shared" ref="F133:G133" si="258">F131</f>
        <v>0</v>
      </c>
      <c r="G133" s="219">
        <f t="shared" si="258"/>
        <v>0</v>
      </c>
      <c r="H133" s="220">
        <f>N132/3+Q133/8+Z134/3.5</f>
        <v>2.6714285714285713</v>
      </c>
      <c r="I133" s="221">
        <f>C133*70+D133*45+E133*25+H133*75+G133*60+F133*150</f>
        <v>693.32678571428573</v>
      </c>
      <c r="J133" s="64" t="s">
        <v>389</v>
      </c>
      <c r="K133" s="64">
        <v>0.4</v>
      </c>
      <c r="L133" s="145" t="str">
        <f t="shared" si="252"/>
        <v>公斤</v>
      </c>
      <c r="M133" s="62" t="s">
        <v>7</v>
      </c>
      <c r="N133" s="62">
        <v>1.5</v>
      </c>
      <c r="O133" s="145" t="str">
        <f t="shared" si="141"/>
        <v>公斤</v>
      </c>
      <c r="P133" s="132" t="s">
        <v>479</v>
      </c>
      <c r="Q133" s="132">
        <v>4</v>
      </c>
      <c r="R133" s="145" t="str">
        <f t="shared" si="142"/>
        <v>公斤</v>
      </c>
      <c r="S133" s="133" t="s">
        <v>488</v>
      </c>
      <c r="T133" s="132">
        <v>6</v>
      </c>
      <c r="U133" s="145" t="str">
        <f t="shared" si="143"/>
        <v>公斤</v>
      </c>
      <c r="V133" s="62" t="s">
        <v>9</v>
      </c>
      <c r="W133" s="62">
        <v>0.05</v>
      </c>
      <c r="X133" s="145" t="str">
        <f t="shared" si="144"/>
        <v>公斤</v>
      </c>
      <c r="Y133" s="64" t="s">
        <v>346</v>
      </c>
      <c r="Z133" s="64">
        <v>0.3</v>
      </c>
      <c r="AA133" s="145" t="str">
        <f t="shared" si="145"/>
        <v>公斤</v>
      </c>
      <c r="AB133" s="62"/>
      <c r="AC133" s="62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</row>
    <row r="134" spans="1:51" ht="16.2">
      <c r="A134" s="57"/>
      <c r="B134" s="58"/>
      <c r="C134" s="59"/>
      <c r="D134" s="59"/>
      <c r="E134" s="59"/>
      <c r="F134" s="59"/>
      <c r="G134" s="59"/>
      <c r="H134" s="59"/>
      <c r="I134" s="67"/>
      <c r="J134" s="64"/>
      <c r="K134" s="64"/>
      <c r="L134" s="145" t="str">
        <f t="shared" si="140"/>
        <v/>
      </c>
      <c r="M134" s="62" t="s">
        <v>8</v>
      </c>
      <c r="N134" s="62">
        <v>0.5</v>
      </c>
      <c r="O134" s="145" t="str">
        <f t="shared" si="141"/>
        <v>公斤</v>
      </c>
      <c r="P134" s="132" t="s">
        <v>476</v>
      </c>
      <c r="Q134" s="132">
        <v>0.5</v>
      </c>
      <c r="R134" s="145" t="str">
        <f t="shared" si="142"/>
        <v>公斤</v>
      </c>
      <c r="S134" s="132" t="s">
        <v>476</v>
      </c>
      <c r="T134" s="132">
        <v>0.5</v>
      </c>
      <c r="U134" s="145" t="str">
        <f t="shared" si="143"/>
        <v>公斤</v>
      </c>
      <c r="V134" s="62"/>
      <c r="W134" s="62"/>
      <c r="X134" s="145" t="str">
        <f t="shared" si="144"/>
        <v/>
      </c>
      <c r="Y134" s="64" t="s">
        <v>291</v>
      </c>
      <c r="Z134" s="64">
        <v>0.6</v>
      </c>
      <c r="AA134" s="145" t="str">
        <f t="shared" si="145"/>
        <v>公斤</v>
      </c>
      <c r="AB134" s="62"/>
      <c r="AC134" s="62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</row>
    <row r="135" spans="1:51" ht="16.2">
      <c r="A135" s="57"/>
      <c r="B135" s="58"/>
      <c r="C135" s="59"/>
      <c r="D135" s="59"/>
      <c r="E135" s="59"/>
      <c r="F135" s="59"/>
      <c r="G135" s="59"/>
      <c r="H135" s="59"/>
      <c r="I135" s="59"/>
      <c r="J135" s="64"/>
      <c r="K135" s="64"/>
      <c r="L135" s="145" t="str">
        <f t="shared" si="140"/>
        <v/>
      </c>
      <c r="M135" s="62" t="s">
        <v>397</v>
      </c>
      <c r="N135" s="62">
        <v>1.5</v>
      </c>
      <c r="O135" s="145" t="str">
        <f t="shared" si="141"/>
        <v>公斤</v>
      </c>
      <c r="P135" s="132" t="s">
        <v>480</v>
      </c>
      <c r="Q135" s="132">
        <v>0.05</v>
      </c>
      <c r="R135" s="145" t="str">
        <f t="shared" si="142"/>
        <v>公斤</v>
      </c>
      <c r="S135" s="132" t="s">
        <v>480</v>
      </c>
      <c r="T135" s="132">
        <v>0.05</v>
      </c>
      <c r="U135" s="145" t="str">
        <f t="shared" si="143"/>
        <v>公斤</v>
      </c>
      <c r="V135" s="62"/>
      <c r="W135" s="62"/>
      <c r="X135" s="145" t="str">
        <f t="shared" si="144"/>
        <v/>
      </c>
      <c r="Y135" s="81" t="s">
        <v>391</v>
      </c>
      <c r="Z135" s="64">
        <v>0.05</v>
      </c>
      <c r="AA135" s="145" t="str">
        <f t="shared" si="145"/>
        <v>公斤</v>
      </c>
      <c r="AB135" s="62"/>
      <c r="AC135" s="62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</row>
    <row r="136" spans="1:51" ht="16.2">
      <c r="A136" s="57"/>
      <c r="B136" s="58"/>
      <c r="C136" s="59"/>
      <c r="D136" s="59"/>
      <c r="E136" s="59"/>
      <c r="F136" s="59"/>
      <c r="G136" s="59"/>
      <c r="H136" s="59"/>
      <c r="I136" s="59"/>
      <c r="J136" s="64"/>
      <c r="K136" s="64"/>
      <c r="L136" s="145" t="str">
        <f t="shared" si="140"/>
        <v/>
      </c>
      <c r="M136" s="62" t="s">
        <v>9</v>
      </c>
      <c r="N136" s="62">
        <v>0.05</v>
      </c>
      <c r="O136" s="145" t="str">
        <f t="shared" si="141"/>
        <v>公斤</v>
      </c>
      <c r="P136" s="132"/>
      <c r="Q136" s="132"/>
      <c r="R136" s="145" t="str">
        <f t="shared" si="142"/>
        <v/>
      </c>
      <c r="S136" s="132"/>
      <c r="T136" s="132"/>
      <c r="U136" s="145" t="str">
        <f t="shared" si="143"/>
        <v/>
      </c>
      <c r="V136" s="62"/>
      <c r="W136" s="62"/>
      <c r="X136" s="145" t="str">
        <f t="shared" si="144"/>
        <v/>
      </c>
      <c r="Y136" s="64" t="s">
        <v>117</v>
      </c>
      <c r="Z136" s="64">
        <v>0.05</v>
      </c>
      <c r="AA136" s="145" t="str">
        <f t="shared" si="145"/>
        <v>公斤</v>
      </c>
      <c r="AB136" s="62"/>
      <c r="AC136" s="62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</row>
    <row r="137" spans="1:51" ht="16.8" thickBot="1">
      <c r="A137" s="71"/>
      <c r="B137" s="72"/>
      <c r="C137" s="73"/>
      <c r="D137" s="73"/>
      <c r="E137" s="73"/>
      <c r="F137" s="73"/>
      <c r="G137" s="73"/>
      <c r="H137" s="73"/>
      <c r="I137" s="73"/>
      <c r="J137" s="74"/>
      <c r="K137" s="75"/>
      <c r="L137" s="145" t="str">
        <f t="shared" si="140"/>
        <v/>
      </c>
      <c r="M137" s="75" t="s">
        <v>331</v>
      </c>
      <c r="N137" s="75">
        <v>0.05</v>
      </c>
      <c r="O137" s="145" t="str">
        <f t="shared" si="141"/>
        <v>公斤</v>
      </c>
      <c r="P137" s="136"/>
      <c r="Q137" s="136"/>
      <c r="R137" s="145" t="str">
        <f t="shared" si="142"/>
        <v/>
      </c>
      <c r="S137" s="136"/>
      <c r="T137" s="136"/>
      <c r="U137" s="145" t="str">
        <f t="shared" si="143"/>
        <v/>
      </c>
      <c r="V137" s="75"/>
      <c r="W137" s="75"/>
      <c r="X137" s="145" t="str">
        <f t="shared" si="144"/>
        <v/>
      </c>
      <c r="Y137" s="75"/>
      <c r="Z137" s="75"/>
      <c r="AA137" s="145" t="str">
        <f t="shared" si="145"/>
        <v/>
      </c>
      <c r="AB137" s="75"/>
      <c r="AC137" s="75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</row>
    <row r="138" spans="1:51" ht="16.2">
      <c r="A138" s="52" t="s">
        <v>24</v>
      </c>
      <c r="B138" s="53" t="s">
        <v>276</v>
      </c>
      <c r="C138" s="54">
        <f>C140</f>
        <v>5</v>
      </c>
      <c r="D138" s="54">
        <f>(E138+H138)/2</f>
        <v>2.1885101010101011</v>
      </c>
      <c r="E138" s="54">
        <f>E140+(T139+T141+T142)/10</f>
        <v>2.5</v>
      </c>
      <c r="F138" s="54">
        <v>0</v>
      </c>
      <c r="G138" s="54">
        <v>0</v>
      </c>
      <c r="H138" s="54">
        <f>H140+T140/4.5</f>
        <v>1.877020202020202</v>
      </c>
      <c r="I138" s="54">
        <f>C138*70+D138*45+E138*25+H138*75+G138*60+F138*150</f>
        <v>651.75946969696975</v>
      </c>
      <c r="J138" s="77" t="s">
        <v>318</v>
      </c>
      <c r="K138" s="78"/>
      <c r="L138" s="66"/>
      <c r="M138" s="77" t="s">
        <v>428</v>
      </c>
      <c r="N138" s="78"/>
      <c r="O138" s="66"/>
      <c r="P138" s="77" t="s">
        <v>429</v>
      </c>
      <c r="Q138" s="78"/>
      <c r="R138" s="66"/>
      <c r="S138" s="77" t="s">
        <v>430</v>
      </c>
      <c r="T138" s="78"/>
      <c r="U138" s="66"/>
      <c r="V138" s="77" t="s">
        <v>92</v>
      </c>
      <c r="W138" s="78"/>
      <c r="X138" s="89"/>
      <c r="Y138" s="77" t="s">
        <v>431</v>
      </c>
      <c r="Z138" s="78"/>
      <c r="AA138" s="91"/>
      <c r="AB138" s="79" t="s">
        <v>283</v>
      </c>
      <c r="AC138" s="79"/>
      <c r="AD138" s="51" t="str">
        <f>A138</f>
        <v>E1</v>
      </c>
      <c r="AE138" s="47" t="str">
        <f>J138</f>
        <v>白米飯</v>
      </c>
      <c r="AF138" s="47" t="str">
        <f>J139&amp;" "&amp;J140&amp;" "&amp;J141&amp;" "&amp;J142&amp;" "&amp;J143&amp;" "&amp;J144</f>
        <v xml:space="preserve">米     </v>
      </c>
      <c r="AG138" s="47" t="str">
        <f>M138</f>
        <v>茄汁肉絲</v>
      </c>
      <c r="AH138" s="47" t="str">
        <f>M139&amp;" "&amp;M140&amp;" "&amp;M141&amp;" "&amp;M142&amp;" "&amp;M143&amp;" "&amp;M144</f>
        <v xml:space="preserve">豬後腿肉 洋蔥 胡蘿蔔 大番茄 大蒜 </v>
      </c>
      <c r="AI138" s="47" t="str">
        <f>P138</f>
        <v>海結凍腐</v>
      </c>
      <c r="AJ138" s="47" t="str">
        <f>P139&amp;" "&amp;P140&amp;" "&amp;P141&amp;" "&amp;P142&amp;" "&amp;P143&amp;" "&amp;P144</f>
        <v xml:space="preserve">乾海帶 凍豆腐 大蒜   </v>
      </c>
      <c r="AK138" s="47" t="str">
        <f>S138</f>
        <v>火腿豆芽</v>
      </c>
      <c r="AL138" s="47" t="str">
        <f>S139&amp;" "&amp;S140&amp;" "&amp;S141&amp;" "&amp;S142&amp;" "&amp;S143&amp;" "&amp;S144</f>
        <v xml:space="preserve">綠豆芽 切片火腿(豬肉) 韮菜 胡蘿蔔 大蒜 </v>
      </c>
      <c r="AM138" s="47" t="str">
        <f>V138</f>
        <v>時蔬</v>
      </c>
      <c r="AN138" s="47" t="str">
        <f>V139&amp;" "&amp;V140&amp;" "&amp;V141&amp;" "&amp;V142&amp;" "&amp;V143&amp;" "&amp;V144</f>
        <v xml:space="preserve">蔬菜 大蒜    </v>
      </c>
      <c r="AO138" s="47" t="str">
        <f>Y138</f>
        <v>蘿蔔大骨湯</v>
      </c>
      <c r="AP138" s="47" t="str">
        <f>Y139&amp;" "&amp;Y140&amp;" "&amp;Y141&amp;" "&amp;Y142&amp;" "&amp;Y143&amp;" "&amp;Y144</f>
        <v xml:space="preserve">白蘿蔔 大骨 胡蘿蔔 薑  </v>
      </c>
      <c r="AQ138" s="51" t="str">
        <f>AB138</f>
        <v>點心</v>
      </c>
      <c r="AR138" s="51">
        <f>AC138</f>
        <v>0</v>
      </c>
      <c r="AS138" s="86">
        <f t="shared" ref="AS138" si="259">C138</f>
        <v>5</v>
      </c>
      <c r="AT138" s="86">
        <f t="shared" ref="AT138" si="260">H138</f>
        <v>1.877020202020202</v>
      </c>
      <c r="AU138" s="86">
        <f t="shared" ref="AU138" si="261">E138</f>
        <v>2.5</v>
      </c>
      <c r="AV138" s="86">
        <f t="shared" ref="AV138" si="262">D138</f>
        <v>2.1885101010101011</v>
      </c>
      <c r="AW138" s="86">
        <f t="shared" ref="AW138" si="263">F138</f>
        <v>0</v>
      </c>
      <c r="AX138" s="86">
        <f t="shared" ref="AX138" si="264">G138</f>
        <v>0</v>
      </c>
      <c r="AY138" s="86">
        <f t="shared" ref="AY138" si="265">I138</f>
        <v>651.75946969696975</v>
      </c>
    </row>
    <row r="139" spans="1:51" ht="16.2">
      <c r="A139" s="57"/>
      <c r="B139" s="58"/>
      <c r="C139" s="59"/>
      <c r="D139" s="59"/>
      <c r="E139" s="59"/>
      <c r="F139" s="59"/>
      <c r="G139" s="59"/>
      <c r="H139" s="59"/>
      <c r="I139" s="60"/>
      <c r="J139" s="61" t="s">
        <v>284</v>
      </c>
      <c r="K139" s="62">
        <v>10</v>
      </c>
      <c r="L139" s="145" t="str">
        <f t="shared" ref="L139:L165" si="266">IF(K139,"公斤","")</f>
        <v>公斤</v>
      </c>
      <c r="M139" s="62" t="s">
        <v>291</v>
      </c>
      <c r="N139" s="62">
        <v>6</v>
      </c>
      <c r="O139" s="145" t="str">
        <f t="shared" ref="O139:O165" si="267">IF(N139,"公斤","")</f>
        <v>公斤</v>
      </c>
      <c r="P139" s="62" t="s">
        <v>403</v>
      </c>
      <c r="Q139" s="62">
        <v>1</v>
      </c>
      <c r="R139" s="145" t="str">
        <f t="shared" ref="R139:R165" si="268">IF(Q139,"公斤","")</f>
        <v>公斤</v>
      </c>
      <c r="S139" s="62" t="s">
        <v>335</v>
      </c>
      <c r="T139" s="62">
        <v>4.5</v>
      </c>
      <c r="U139" s="145" t="str">
        <f t="shared" ref="U139:U165" si="269">IF(T139,"公斤","")</f>
        <v>公斤</v>
      </c>
      <c r="V139" s="62" t="s">
        <v>223</v>
      </c>
      <c r="W139" s="62">
        <v>7</v>
      </c>
      <c r="X139" s="145" t="str">
        <f t="shared" ref="X139:X165" si="270">IF(W139,"公斤","")</f>
        <v>公斤</v>
      </c>
      <c r="Y139" s="62" t="s">
        <v>290</v>
      </c>
      <c r="Z139" s="62">
        <v>4.5</v>
      </c>
      <c r="AA139" s="145" t="str">
        <f t="shared" ref="AA139:AA165" si="271">IF(Z139,"公斤","")</f>
        <v>公斤</v>
      </c>
      <c r="AB139" s="62" t="s">
        <v>283</v>
      </c>
      <c r="AC139" s="62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</row>
    <row r="140" spans="1:51" ht="16.2">
      <c r="A140" s="223"/>
      <c r="B140" s="218" t="s">
        <v>557</v>
      </c>
      <c r="C140" s="219">
        <f>K139/2</f>
        <v>5</v>
      </c>
      <c r="D140" s="219">
        <f>(E140+H140)/2</f>
        <v>1.7579545454545453</v>
      </c>
      <c r="E140" s="219">
        <f>(N140+N141+N142+Q139*3+W139+Z139+Z141)/10</f>
        <v>1.95</v>
      </c>
      <c r="F140" s="219">
        <f t="shared" ref="F140:G140" si="272">F138</f>
        <v>0</v>
      </c>
      <c r="G140" s="219">
        <f t="shared" si="272"/>
        <v>0</v>
      </c>
      <c r="H140" s="220">
        <f>N139/5.5+Q140/8+0.1</f>
        <v>1.5659090909090909</v>
      </c>
      <c r="I140" s="221">
        <f>C140*70+D140*45+E140*25+H140*75+G140*60+F140*150</f>
        <v>595.30113636363626</v>
      </c>
      <c r="J140" s="61"/>
      <c r="K140" s="62"/>
      <c r="L140" s="145" t="str">
        <f t="shared" si="266"/>
        <v/>
      </c>
      <c r="M140" s="62" t="s">
        <v>7</v>
      </c>
      <c r="N140" s="62">
        <v>3</v>
      </c>
      <c r="O140" s="145" t="str">
        <f t="shared" si="267"/>
        <v>公斤</v>
      </c>
      <c r="P140" s="62" t="s">
        <v>330</v>
      </c>
      <c r="Q140" s="62">
        <v>3</v>
      </c>
      <c r="R140" s="145" t="str">
        <f t="shared" si="268"/>
        <v>公斤</v>
      </c>
      <c r="S140" s="62" t="s">
        <v>347</v>
      </c>
      <c r="T140" s="62">
        <v>1.4</v>
      </c>
      <c r="U140" s="145" t="str">
        <f t="shared" si="269"/>
        <v>公斤</v>
      </c>
      <c r="V140" s="62" t="s">
        <v>9</v>
      </c>
      <c r="W140" s="62">
        <v>0.05</v>
      </c>
      <c r="X140" s="145" t="str">
        <f t="shared" si="270"/>
        <v>公斤</v>
      </c>
      <c r="Y140" s="64" t="s">
        <v>311</v>
      </c>
      <c r="Z140" s="64">
        <v>1</v>
      </c>
      <c r="AA140" s="145" t="str">
        <f t="shared" si="271"/>
        <v>公斤</v>
      </c>
      <c r="AB140" s="62"/>
      <c r="AC140" s="62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</row>
    <row r="141" spans="1:51" ht="16.2">
      <c r="A141" s="223"/>
      <c r="B141" s="218"/>
      <c r="C141" s="219"/>
      <c r="D141" s="219"/>
      <c r="E141" s="219"/>
      <c r="F141" s="219"/>
      <c r="G141" s="219"/>
      <c r="H141" s="219"/>
      <c r="I141" s="222"/>
      <c r="J141" s="61"/>
      <c r="K141" s="62"/>
      <c r="L141" s="145" t="str">
        <f t="shared" si="266"/>
        <v/>
      </c>
      <c r="M141" s="62" t="s">
        <v>8</v>
      </c>
      <c r="N141" s="62">
        <v>0.5</v>
      </c>
      <c r="O141" s="145" t="str">
        <f t="shared" si="267"/>
        <v>公斤</v>
      </c>
      <c r="P141" s="62" t="s">
        <v>9</v>
      </c>
      <c r="Q141" s="62">
        <v>0.05</v>
      </c>
      <c r="R141" s="145" t="str">
        <f t="shared" si="268"/>
        <v>公斤</v>
      </c>
      <c r="S141" s="62" t="s">
        <v>355</v>
      </c>
      <c r="T141" s="62">
        <v>0.5</v>
      </c>
      <c r="U141" s="145" t="str">
        <f t="shared" si="269"/>
        <v>公斤</v>
      </c>
      <c r="V141" s="62"/>
      <c r="W141" s="62"/>
      <c r="X141" s="145" t="str">
        <f t="shared" si="270"/>
        <v/>
      </c>
      <c r="Y141" s="62" t="s">
        <v>8</v>
      </c>
      <c r="Z141" s="62">
        <v>0.5</v>
      </c>
      <c r="AA141" s="145" t="str">
        <f t="shared" si="271"/>
        <v>公斤</v>
      </c>
      <c r="AB141" s="62"/>
      <c r="AC141" s="62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</row>
    <row r="142" spans="1:51" ht="16.2">
      <c r="A142" s="57"/>
      <c r="B142" s="58"/>
      <c r="C142" s="59"/>
      <c r="D142" s="59"/>
      <c r="E142" s="59"/>
      <c r="F142" s="59"/>
      <c r="G142" s="59"/>
      <c r="H142" s="59"/>
      <c r="I142" s="59"/>
      <c r="J142" s="61"/>
      <c r="K142" s="62"/>
      <c r="L142" s="145" t="str">
        <f t="shared" si="266"/>
        <v/>
      </c>
      <c r="M142" s="62" t="s">
        <v>115</v>
      </c>
      <c r="N142" s="62">
        <v>1</v>
      </c>
      <c r="O142" s="145" t="str">
        <f t="shared" si="267"/>
        <v>公斤</v>
      </c>
      <c r="P142" s="62"/>
      <c r="Q142" s="62"/>
      <c r="R142" s="145" t="str">
        <f t="shared" si="268"/>
        <v/>
      </c>
      <c r="S142" s="62" t="s">
        <v>8</v>
      </c>
      <c r="T142" s="62">
        <v>0.5</v>
      </c>
      <c r="U142" s="145" t="str">
        <f t="shared" si="269"/>
        <v>公斤</v>
      </c>
      <c r="V142" s="62"/>
      <c r="W142" s="62"/>
      <c r="X142" s="145" t="str">
        <f t="shared" si="270"/>
        <v/>
      </c>
      <c r="Y142" s="62" t="s">
        <v>117</v>
      </c>
      <c r="Z142" s="62">
        <v>0.05</v>
      </c>
      <c r="AA142" s="145" t="str">
        <f t="shared" si="271"/>
        <v>公斤</v>
      </c>
      <c r="AB142" s="62"/>
      <c r="AC142" s="62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</row>
    <row r="143" spans="1:51" ht="16.2">
      <c r="A143" s="57"/>
      <c r="B143" s="58"/>
      <c r="C143" s="59"/>
      <c r="D143" s="59"/>
      <c r="E143" s="59"/>
      <c r="F143" s="59"/>
      <c r="G143" s="59"/>
      <c r="H143" s="59"/>
      <c r="I143" s="59"/>
      <c r="J143" s="61"/>
      <c r="K143" s="62"/>
      <c r="L143" s="145" t="str">
        <f t="shared" si="266"/>
        <v/>
      </c>
      <c r="M143" s="62" t="s">
        <v>9</v>
      </c>
      <c r="N143" s="62">
        <v>0.05</v>
      </c>
      <c r="O143" s="145" t="str">
        <f t="shared" si="267"/>
        <v>公斤</v>
      </c>
      <c r="P143" s="62"/>
      <c r="Q143" s="62"/>
      <c r="R143" s="145" t="str">
        <f t="shared" si="268"/>
        <v/>
      </c>
      <c r="S143" s="62" t="s">
        <v>9</v>
      </c>
      <c r="T143" s="62">
        <v>0.05</v>
      </c>
      <c r="U143" s="145" t="str">
        <f t="shared" si="269"/>
        <v>公斤</v>
      </c>
      <c r="V143" s="62"/>
      <c r="W143" s="62"/>
      <c r="X143" s="145" t="str">
        <f t="shared" si="270"/>
        <v/>
      </c>
      <c r="Y143" s="62"/>
      <c r="Z143" s="62"/>
      <c r="AA143" s="145" t="str">
        <f t="shared" si="271"/>
        <v/>
      </c>
      <c r="AB143" s="62"/>
      <c r="AC143" s="62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</row>
    <row r="144" spans="1:51" ht="16.8" thickBot="1">
      <c r="A144" s="71"/>
      <c r="B144" s="72"/>
      <c r="C144" s="73"/>
      <c r="D144" s="73"/>
      <c r="E144" s="73"/>
      <c r="F144" s="73"/>
      <c r="G144" s="73"/>
      <c r="H144" s="73"/>
      <c r="I144" s="73"/>
      <c r="J144" s="74"/>
      <c r="K144" s="75"/>
      <c r="L144" s="145" t="str">
        <f t="shared" si="266"/>
        <v/>
      </c>
      <c r="M144" s="75"/>
      <c r="N144" s="75"/>
      <c r="O144" s="145" t="str">
        <f t="shared" si="267"/>
        <v/>
      </c>
      <c r="P144" s="75"/>
      <c r="Q144" s="75"/>
      <c r="R144" s="145" t="str">
        <f t="shared" si="268"/>
        <v/>
      </c>
      <c r="S144" s="75"/>
      <c r="T144" s="75"/>
      <c r="U144" s="145" t="str">
        <f t="shared" si="269"/>
        <v/>
      </c>
      <c r="V144" s="75"/>
      <c r="W144" s="75"/>
      <c r="X144" s="145" t="str">
        <f t="shared" si="270"/>
        <v/>
      </c>
      <c r="Y144" s="75"/>
      <c r="Z144" s="75"/>
      <c r="AA144" s="145" t="str">
        <f t="shared" si="271"/>
        <v/>
      </c>
      <c r="AB144" s="75"/>
      <c r="AC144" s="75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</row>
    <row r="145" spans="1:51" ht="16.2">
      <c r="A145" s="52" t="s">
        <v>25</v>
      </c>
      <c r="B145" s="53" t="s">
        <v>276</v>
      </c>
      <c r="C145" s="54">
        <f>C147</f>
        <v>5</v>
      </c>
      <c r="D145" s="54">
        <f>(E145+H145)/2</f>
        <v>2.6454545454545455</v>
      </c>
      <c r="E145" s="54">
        <f>E147+(T146)/10</f>
        <v>2.2999999999999998</v>
      </c>
      <c r="F145" s="54">
        <v>0</v>
      </c>
      <c r="G145" s="54">
        <v>0</v>
      </c>
      <c r="H145" s="54">
        <f>H147+T147/1.5</f>
        <v>2.9909090909090907</v>
      </c>
      <c r="I145" s="54">
        <f>C145*70+D145*45+E145*25+H145*75+G145*60+F145*150</f>
        <v>750.86363636363626</v>
      </c>
      <c r="J145" s="77" t="s">
        <v>295</v>
      </c>
      <c r="K145" s="78"/>
      <c r="L145" s="66"/>
      <c r="M145" s="77" t="s">
        <v>432</v>
      </c>
      <c r="N145" s="56"/>
      <c r="O145" s="66"/>
      <c r="P145" s="55" t="s">
        <v>26</v>
      </c>
      <c r="Q145" s="56"/>
      <c r="R145" s="66"/>
      <c r="S145" s="55" t="s">
        <v>433</v>
      </c>
      <c r="T145" s="56"/>
      <c r="U145" s="66"/>
      <c r="V145" s="55" t="s">
        <v>92</v>
      </c>
      <c r="W145" s="78"/>
      <c r="X145" s="89"/>
      <c r="Y145" s="77" t="s">
        <v>434</v>
      </c>
      <c r="Z145" s="56"/>
      <c r="AA145" s="91"/>
      <c r="AB145" s="79" t="s">
        <v>283</v>
      </c>
      <c r="AC145" s="80"/>
      <c r="AD145" s="51" t="str">
        <f>A145</f>
        <v>E2</v>
      </c>
      <c r="AE145" s="47" t="str">
        <f>J145</f>
        <v>糙米飯</v>
      </c>
      <c r="AF145" s="47" t="str">
        <f>J146&amp;" "&amp;J147&amp;" "&amp;J148&amp;" "&amp;J149&amp;" "&amp;J150&amp;" "&amp;J151</f>
        <v xml:space="preserve">米 糙米    </v>
      </c>
      <c r="AG145" s="47" t="str">
        <f>M145</f>
        <v>蒜香魚丁</v>
      </c>
      <c r="AH145" s="47" t="str">
        <f>M146&amp;" "&amp;M147&amp;" "&amp;M148&amp;" "&amp;M149&amp;" "&amp;M150&amp;" "&amp;M151</f>
        <v xml:space="preserve">鮮魚丁 甜椒(紅皮) 洋蔥 大蒜 奶油(固態) </v>
      </c>
      <c r="AI145" s="47" t="str">
        <f>P145</f>
        <v>刈薯炒蛋</v>
      </c>
      <c r="AJ145" s="47" t="str">
        <f>P146&amp;" "&amp;P147&amp;" "&amp;P148&amp;" "&amp;P149&amp;" "&amp;P150&amp;" "&amp;P151</f>
        <v xml:space="preserve">刈薯 雞蛋 胡蘿蔔   </v>
      </c>
      <c r="AK145" s="47" t="str">
        <f>S145</f>
        <v>麵筋玉菜</v>
      </c>
      <c r="AL145" s="47" t="str">
        <f>S146&amp;" "&amp;S147&amp;" "&amp;S148&amp;" "&amp;S149&amp;" "&amp;S150&amp;" "&amp;S151</f>
        <v xml:space="preserve">甘藍 麵筋泡 大蒜   </v>
      </c>
      <c r="AM145" s="47" t="str">
        <f>V145</f>
        <v>時蔬</v>
      </c>
      <c r="AN145" s="47" t="str">
        <f>V146&amp;" "&amp;V147&amp;" "&amp;V148&amp;" "&amp;V149&amp;" "&amp;V150&amp;" "&amp;V151</f>
        <v xml:space="preserve">蔬菜 大蒜    </v>
      </c>
      <c r="AO145" s="47" t="str">
        <f>Y145</f>
        <v>紫菜魚丸湯</v>
      </c>
      <c r="AP145" s="47" t="str">
        <f>Y146&amp;" "&amp;Y147&amp;" "&amp;Y148&amp;" "&amp;Y149&amp;" "&amp;Y150&amp;" "&amp;Y151</f>
        <v xml:space="preserve">紫菜 魚丸 薑   </v>
      </c>
      <c r="AQ145" s="51" t="str">
        <f>AB145</f>
        <v>點心</v>
      </c>
      <c r="AR145" s="51">
        <f>AC145</f>
        <v>0</v>
      </c>
      <c r="AS145" s="86">
        <f t="shared" ref="AS145" si="273">C145</f>
        <v>5</v>
      </c>
      <c r="AT145" s="86">
        <f t="shared" ref="AT145" si="274">H145</f>
        <v>2.9909090909090907</v>
      </c>
      <c r="AU145" s="86">
        <f t="shared" ref="AU145" si="275">E145</f>
        <v>2.2999999999999998</v>
      </c>
      <c r="AV145" s="86">
        <f t="shared" ref="AV145" si="276">D145</f>
        <v>2.6454545454545455</v>
      </c>
      <c r="AW145" s="86">
        <f t="shared" ref="AW145" si="277">F145</f>
        <v>0</v>
      </c>
      <c r="AX145" s="86">
        <f t="shared" ref="AX145" si="278">G145</f>
        <v>0</v>
      </c>
      <c r="AY145" s="86">
        <f t="shared" ref="AY145" si="279">I145</f>
        <v>750.86363636363626</v>
      </c>
    </row>
    <row r="146" spans="1:51" ht="16.2">
      <c r="A146" s="57"/>
      <c r="B146" s="58"/>
      <c r="C146" s="59"/>
      <c r="D146" s="59"/>
      <c r="E146" s="59"/>
      <c r="F146" s="59"/>
      <c r="G146" s="59"/>
      <c r="H146" s="59"/>
      <c r="I146" s="60"/>
      <c r="J146" s="61" t="s">
        <v>284</v>
      </c>
      <c r="K146" s="62">
        <v>7</v>
      </c>
      <c r="L146" s="145" t="str">
        <f t="shared" ref="L146:L147" si="280">IF(K146,"公斤","")</f>
        <v>公斤</v>
      </c>
      <c r="M146" s="63" t="s">
        <v>435</v>
      </c>
      <c r="N146" s="64">
        <v>6.5</v>
      </c>
      <c r="O146" s="145" t="str">
        <f t="shared" ref="O146" si="281">IF(N146,"公斤","")</f>
        <v>公斤</v>
      </c>
      <c r="P146" s="64" t="s">
        <v>27</v>
      </c>
      <c r="Q146" s="64">
        <v>4</v>
      </c>
      <c r="R146" s="145" t="str">
        <f t="shared" ref="R146" si="282">IF(Q146,"公斤","")</f>
        <v>公斤</v>
      </c>
      <c r="S146" s="64" t="s">
        <v>289</v>
      </c>
      <c r="T146" s="64">
        <v>6.5</v>
      </c>
      <c r="U146" s="145" t="str">
        <f t="shared" ref="U146" si="283">IF(T146,"公斤","")</f>
        <v>公斤</v>
      </c>
      <c r="V146" s="64" t="s">
        <v>223</v>
      </c>
      <c r="W146" s="64">
        <v>7</v>
      </c>
      <c r="X146" s="145" t="str">
        <f t="shared" ref="X146" si="284">IF(W146,"公斤","")</f>
        <v>公斤</v>
      </c>
      <c r="Y146" s="62" t="s">
        <v>210</v>
      </c>
      <c r="Z146" s="62">
        <v>0.1</v>
      </c>
      <c r="AA146" s="145" t="str">
        <f t="shared" ref="AA146" si="285">IF(Z146,"公斤","")</f>
        <v>公斤</v>
      </c>
      <c r="AB146" s="62" t="s">
        <v>283</v>
      </c>
      <c r="AC146" s="62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</row>
    <row r="147" spans="1:51" ht="16.2">
      <c r="A147" s="57"/>
      <c r="B147" s="218" t="s">
        <v>557</v>
      </c>
      <c r="C147" s="219">
        <f>K146/2+K147/2</f>
        <v>5</v>
      </c>
      <c r="D147" s="219">
        <f>(E147+H147)/2</f>
        <v>2.1537878787878784</v>
      </c>
      <c r="E147" s="219">
        <f>(N147+N148+Q146+Q148+W146+Z146*5)/10</f>
        <v>1.65</v>
      </c>
      <c r="F147" s="219">
        <f t="shared" ref="F147:G147" si="286">F145</f>
        <v>0</v>
      </c>
      <c r="G147" s="219">
        <f t="shared" si="286"/>
        <v>0</v>
      </c>
      <c r="H147" s="220">
        <f>N146/3+Q147/5.5+Z147/5.5</f>
        <v>2.6575757575757573</v>
      </c>
      <c r="I147" s="221">
        <f>C147*70+D147*45+E147*25+H147*75+G147*60+F147*150</f>
        <v>687.48863636363626</v>
      </c>
      <c r="J147" s="61" t="s">
        <v>287</v>
      </c>
      <c r="K147" s="62">
        <v>3</v>
      </c>
      <c r="L147" s="145" t="str">
        <f t="shared" si="280"/>
        <v>公斤</v>
      </c>
      <c r="M147" s="63" t="s">
        <v>211</v>
      </c>
      <c r="N147" s="64">
        <v>2</v>
      </c>
      <c r="O147" s="145" t="str">
        <f t="shared" si="267"/>
        <v>公斤</v>
      </c>
      <c r="P147" s="64" t="s">
        <v>28</v>
      </c>
      <c r="Q147" s="64">
        <v>1.7</v>
      </c>
      <c r="R147" s="145" t="str">
        <f t="shared" si="268"/>
        <v>公斤</v>
      </c>
      <c r="S147" s="64" t="s">
        <v>436</v>
      </c>
      <c r="T147" s="64">
        <v>0.5</v>
      </c>
      <c r="U147" s="145" t="str">
        <f t="shared" si="269"/>
        <v>公斤</v>
      </c>
      <c r="V147" s="64" t="s">
        <v>9</v>
      </c>
      <c r="W147" s="64">
        <v>0.05</v>
      </c>
      <c r="X147" s="145" t="str">
        <f t="shared" si="270"/>
        <v>公斤</v>
      </c>
      <c r="Y147" s="62" t="s">
        <v>286</v>
      </c>
      <c r="Z147" s="62">
        <v>1</v>
      </c>
      <c r="AA147" s="145" t="str">
        <f t="shared" si="271"/>
        <v>公斤</v>
      </c>
      <c r="AB147" s="62"/>
      <c r="AC147" s="62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</row>
    <row r="148" spans="1:51" ht="16.2">
      <c r="A148" s="57"/>
      <c r="B148" s="218"/>
      <c r="C148" s="219"/>
      <c r="D148" s="219"/>
      <c r="E148" s="219"/>
      <c r="F148" s="219"/>
      <c r="G148" s="219"/>
      <c r="H148" s="219"/>
      <c r="I148" s="222"/>
      <c r="J148" s="61"/>
      <c r="K148" s="62"/>
      <c r="L148" s="145" t="str">
        <f t="shared" si="266"/>
        <v/>
      </c>
      <c r="M148" s="63" t="s">
        <v>7</v>
      </c>
      <c r="N148" s="64">
        <v>2</v>
      </c>
      <c r="O148" s="145" t="str">
        <f t="shared" si="267"/>
        <v>公斤</v>
      </c>
      <c r="P148" s="62" t="s">
        <v>8</v>
      </c>
      <c r="Q148" s="62">
        <v>1</v>
      </c>
      <c r="R148" s="145" t="str">
        <f t="shared" si="268"/>
        <v>公斤</v>
      </c>
      <c r="S148" s="64" t="s">
        <v>9</v>
      </c>
      <c r="T148" s="64">
        <v>0.05</v>
      </c>
      <c r="U148" s="145" t="str">
        <f t="shared" si="269"/>
        <v>公斤</v>
      </c>
      <c r="V148" s="64"/>
      <c r="W148" s="64"/>
      <c r="X148" s="145" t="str">
        <f t="shared" si="270"/>
        <v/>
      </c>
      <c r="Y148" s="62" t="s">
        <v>117</v>
      </c>
      <c r="Z148" s="62">
        <v>0.05</v>
      </c>
      <c r="AA148" s="145" t="str">
        <f t="shared" si="271"/>
        <v>公斤</v>
      </c>
      <c r="AB148" s="62"/>
      <c r="AC148" s="62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</row>
    <row r="149" spans="1:51" ht="16.2">
      <c r="A149" s="57"/>
      <c r="B149" s="58"/>
      <c r="C149" s="59"/>
      <c r="D149" s="59"/>
      <c r="E149" s="59"/>
      <c r="F149" s="59"/>
      <c r="G149" s="59"/>
      <c r="H149" s="59"/>
      <c r="I149" s="59"/>
      <c r="J149" s="61"/>
      <c r="K149" s="62"/>
      <c r="L149" s="145" t="str">
        <f t="shared" si="266"/>
        <v/>
      </c>
      <c r="M149" s="63" t="s">
        <v>9</v>
      </c>
      <c r="N149" s="64">
        <v>0.3</v>
      </c>
      <c r="O149" s="145" t="str">
        <f t="shared" si="267"/>
        <v>公斤</v>
      </c>
      <c r="P149" s="64"/>
      <c r="Q149" s="64"/>
      <c r="R149" s="145" t="str">
        <f t="shared" si="268"/>
        <v/>
      </c>
      <c r="S149" s="64"/>
      <c r="T149" s="64"/>
      <c r="U149" s="145" t="str">
        <f t="shared" si="269"/>
        <v/>
      </c>
      <c r="V149" s="64"/>
      <c r="W149" s="64"/>
      <c r="X149" s="145" t="str">
        <f t="shared" si="270"/>
        <v/>
      </c>
      <c r="Y149" s="62"/>
      <c r="Z149" s="62"/>
      <c r="AA149" s="145" t="str">
        <f t="shared" si="271"/>
        <v/>
      </c>
      <c r="AB149" s="62"/>
      <c r="AC149" s="62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</row>
    <row r="150" spans="1:51" ht="16.2">
      <c r="A150" s="57"/>
      <c r="B150" s="58"/>
      <c r="C150" s="59"/>
      <c r="D150" s="59"/>
      <c r="E150" s="59"/>
      <c r="F150" s="59"/>
      <c r="G150" s="59"/>
      <c r="H150" s="59"/>
      <c r="I150" s="59"/>
      <c r="J150" s="61"/>
      <c r="K150" s="62"/>
      <c r="L150" s="145" t="str">
        <f t="shared" si="266"/>
        <v/>
      </c>
      <c r="M150" s="63" t="s">
        <v>212</v>
      </c>
      <c r="N150" s="64">
        <v>0.6</v>
      </c>
      <c r="O150" s="145" t="str">
        <f t="shared" si="267"/>
        <v>公斤</v>
      </c>
      <c r="P150" s="64"/>
      <c r="Q150" s="64"/>
      <c r="R150" s="145" t="str">
        <f t="shared" si="268"/>
        <v/>
      </c>
      <c r="S150" s="64"/>
      <c r="T150" s="64"/>
      <c r="U150" s="145" t="str">
        <f t="shared" si="269"/>
        <v/>
      </c>
      <c r="V150" s="64"/>
      <c r="W150" s="64"/>
      <c r="X150" s="145" t="str">
        <f t="shared" si="270"/>
        <v/>
      </c>
      <c r="Y150" s="62"/>
      <c r="Z150" s="62"/>
      <c r="AA150" s="145" t="str">
        <f t="shared" si="271"/>
        <v/>
      </c>
      <c r="AB150" s="62"/>
      <c r="AC150" s="62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</row>
    <row r="151" spans="1:51" ht="16.8" thickBot="1">
      <c r="A151" s="71"/>
      <c r="B151" s="72"/>
      <c r="C151" s="73"/>
      <c r="D151" s="73"/>
      <c r="E151" s="73"/>
      <c r="F151" s="73"/>
      <c r="G151" s="73"/>
      <c r="H151" s="73"/>
      <c r="I151" s="73"/>
      <c r="J151" s="74"/>
      <c r="K151" s="75"/>
      <c r="L151" s="145" t="str">
        <f t="shared" si="266"/>
        <v/>
      </c>
      <c r="M151" s="75"/>
      <c r="N151" s="75"/>
      <c r="O151" s="145" t="str">
        <f t="shared" si="267"/>
        <v/>
      </c>
      <c r="P151" s="75"/>
      <c r="Q151" s="75"/>
      <c r="R151" s="145" t="str">
        <f t="shared" si="268"/>
        <v/>
      </c>
      <c r="S151" s="75"/>
      <c r="T151" s="75"/>
      <c r="U151" s="145" t="str">
        <f t="shared" si="269"/>
        <v/>
      </c>
      <c r="V151" s="75"/>
      <c r="W151" s="75"/>
      <c r="X151" s="145" t="str">
        <f t="shared" si="270"/>
        <v/>
      </c>
      <c r="Y151" s="75"/>
      <c r="Z151" s="75"/>
      <c r="AA151" s="145" t="str">
        <f t="shared" si="271"/>
        <v/>
      </c>
      <c r="AB151" s="75"/>
      <c r="AC151" s="75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</row>
    <row r="152" spans="1:51" ht="16.2">
      <c r="A152" s="52" t="s">
        <v>29</v>
      </c>
      <c r="B152" s="53" t="s">
        <v>276</v>
      </c>
      <c r="C152" s="54">
        <f>C154</f>
        <v>5</v>
      </c>
      <c r="D152" s="54">
        <f>(E152+H152)/2</f>
        <v>2.277857142857143</v>
      </c>
      <c r="E152" s="54">
        <f>E154+(T153+T155)/10</f>
        <v>2.0699999999999998</v>
      </c>
      <c r="F152" s="54">
        <v>0</v>
      </c>
      <c r="G152" s="54">
        <v>0</v>
      </c>
      <c r="H152" s="54">
        <f>H154</f>
        <v>2.4857142857142858</v>
      </c>
      <c r="I152" s="54">
        <f>C152*70+D152*45+E152*25+H152*75+G152*60+F152*150</f>
        <v>690.68214285714294</v>
      </c>
      <c r="J152" s="77" t="s">
        <v>437</v>
      </c>
      <c r="K152" s="78"/>
      <c r="L152" s="66"/>
      <c r="M152" s="55" t="s">
        <v>438</v>
      </c>
      <c r="N152" s="56"/>
      <c r="O152" s="66"/>
      <c r="P152" s="55" t="s">
        <v>439</v>
      </c>
      <c r="Q152" s="56"/>
      <c r="R152" s="66"/>
      <c r="S152" s="55" t="s">
        <v>134</v>
      </c>
      <c r="T152" s="56"/>
      <c r="U152" s="66"/>
      <c r="V152" s="55" t="s">
        <v>92</v>
      </c>
      <c r="W152" s="78"/>
      <c r="X152" s="89"/>
      <c r="Y152" s="55" t="s">
        <v>440</v>
      </c>
      <c r="Z152" s="78"/>
      <c r="AA152" s="91"/>
      <c r="AB152" s="79" t="s">
        <v>283</v>
      </c>
      <c r="AC152" s="80"/>
      <c r="AD152" s="51" t="str">
        <f>A152</f>
        <v>E3</v>
      </c>
      <c r="AE152" s="47" t="str">
        <f>J152</f>
        <v>刈包特餐</v>
      </c>
      <c r="AF152" s="47" t="str">
        <f>J153&amp;" "&amp;J154&amp;" "&amp;J155&amp;" "&amp;J156&amp;" "&amp;J157&amp;" "&amp;J158</f>
        <v xml:space="preserve">刈包     </v>
      </c>
      <c r="AG152" s="47" t="str">
        <f>M152</f>
        <v>香滷肉排</v>
      </c>
      <c r="AH152" s="47" t="str">
        <f>M153&amp;" "&amp;M154&amp;" "&amp;M155&amp;" "&amp;M156&amp;" "&amp;M157&amp;" "&amp;M158</f>
        <v xml:space="preserve">肉排 大蒜    </v>
      </c>
      <c r="AI152" s="47" t="str">
        <f>P152</f>
        <v>刈包配料</v>
      </c>
      <c r="AJ152" s="47" t="str">
        <f>P153&amp;" "&amp;P154&amp;" "&amp;P155&amp;" "&amp;P156&amp;" "&amp;P157&amp;" "&amp;P158</f>
        <v xml:space="preserve">豬後腿肉 洋蔥 胡蘿蔔   </v>
      </c>
      <c r="AK152" s="47" t="str">
        <f>S152</f>
        <v>塔香鮑菇</v>
      </c>
      <c r="AL152" s="47" t="str">
        <f>S153&amp;" "&amp;S154&amp;" "&amp;S155&amp;" "&amp;S156&amp;" "&amp;S157&amp;" "&amp;S158</f>
        <v xml:space="preserve">杏鮑菇 薑 九層塔   </v>
      </c>
      <c r="AM152" s="47" t="str">
        <f>V152</f>
        <v>時蔬</v>
      </c>
      <c r="AN152" s="47" t="str">
        <f>V153&amp;" "&amp;V154&amp;" "&amp;V155&amp;" "&amp;V156&amp;" "&amp;V157&amp;" "&amp;V158</f>
        <v xml:space="preserve">蔬菜 大蒜    </v>
      </c>
      <c r="AO152" s="47" t="str">
        <f>Y152</f>
        <v>麵線糊</v>
      </c>
      <c r="AP152" s="47" t="str">
        <f>Y153&amp;" "&amp;Y154&amp;" "&amp;Y155&amp;" "&amp;Y156&amp;" "&amp;Y157&amp;" "&amp;Y158</f>
        <v>麵線 豬後腿肉 脆筍絲 胡蘿蔔 乾木耳 柴魚片</v>
      </c>
      <c r="AQ152" s="51" t="str">
        <f>AB152</f>
        <v>點心</v>
      </c>
      <c r="AR152" s="51">
        <f>AC152</f>
        <v>0</v>
      </c>
      <c r="AS152" s="86">
        <f t="shared" ref="AS152" si="287">C152</f>
        <v>5</v>
      </c>
      <c r="AT152" s="86">
        <f t="shared" ref="AT152" si="288">H152</f>
        <v>2.4857142857142858</v>
      </c>
      <c r="AU152" s="86">
        <f t="shared" ref="AU152" si="289">E152</f>
        <v>2.0699999999999998</v>
      </c>
      <c r="AV152" s="86">
        <f t="shared" ref="AV152" si="290">D152</f>
        <v>2.277857142857143</v>
      </c>
      <c r="AW152" s="86">
        <f t="shared" ref="AW152" si="291">F152</f>
        <v>0</v>
      </c>
      <c r="AX152" s="86">
        <f t="shared" ref="AX152" si="292">G152</f>
        <v>0</v>
      </c>
      <c r="AY152" s="86">
        <f t="shared" ref="AY152" si="293">I152</f>
        <v>690.68214285714294</v>
      </c>
    </row>
    <row r="153" spans="1:51" ht="16.2">
      <c r="A153" s="57"/>
      <c r="B153" s="58"/>
      <c r="C153" s="59"/>
      <c r="D153" s="59"/>
      <c r="E153" s="59"/>
      <c r="F153" s="59"/>
      <c r="G153" s="59"/>
      <c r="H153" s="59"/>
      <c r="I153" s="60"/>
      <c r="J153" s="64" t="s">
        <v>441</v>
      </c>
      <c r="K153" s="64">
        <v>6</v>
      </c>
      <c r="L153" s="145" t="str">
        <f t="shared" ref="L153:L154" si="294">IF(K153,"公斤","")</f>
        <v>公斤</v>
      </c>
      <c r="M153" s="64" t="s">
        <v>442</v>
      </c>
      <c r="N153" s="64">
        <v>6</v>
      </c>
      <c r="O153" s="145" t="str">
        <f t="shared" ref="O153" si="295">IF(N153,"公斤","")</f>
        <v>公斤</v>
      </c>
      <c r="P153" s="64" t="s">
        <v>291</v>
      </c>
      <c r="Q153" s="64">
        <v>1</v>
      </c>
      <c r="R153" s="145" t="str">
        <f t="shared" ref="R153" si="296">IF(Q153,"公斤","")</f>
        <v>公斤</v>
      </c>
      <c r="S153" s="64" t="s">
        <v>137</v>
      </c>
      <c r="T153" s="64">
        <v>6</v>
      </c>
      <c r="U153" s="145" t="str">
        <f t="shared" ref="U153" si="297">IF(T153,"公斤","")</f>
        <v>公斤</v>
      </c>
      <c r="V153" s="64" t="s">
        <v>223</v>
      </c>
      <c r="W153" s="64">
        <v>7</v>
      </c>
      <c r="X153" s="145" t="str">
        <f t="shared" ref="X153" si="298">IF(W153,"公斤","")</f>
        <v>公斤</v>
      </c>
      <c r="Y153" s="64" t="s">
        <v>443</v>
      </c>
      <c r="Z153" s="64">
        <v>6</v>
      </c>
      <c r="AA153" s="145" t="str">
        <f t="shared" ref="AA153" si="299">IF(Z153,"公斤","")</f>
        <v>公斤</v>
      </c>
      <c r="AB153" s="62" t="s">
        <v>283</v>
      </c>
      <c r="AC153" s="62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</row>
    <row r="154" spans="1:51" ht="16.2">
      <c r="A154" s="57"/>
      <c r="B154" s="218" t="s">
        <v>557</v>
      </c>
      <c r="C154" s="219">
        <f>K153/3+Z153/2</f>
        <v>5</v>
      </c>
      <c r="D154" s="219">
        <f>(E154+H154)/2</f>
        <v>1.967857142857143</v>
      </c>
      <c r="E154" s="219">
        <f>(Q154+Q155+W153+Z155+Z156)/10</f>
        <v>1.45</v>
      </c>
      <c r="F154" s="219">
        <f t="shared" ref="F154:G154" si="300">F152</f>
        <v>0</v>
      </c>
      <c r="G154" s="219">
        <f t="shared" si="300"/>
        <v>0</v>
      </c>
      <c r="H154" s="220">
        <f>N153/3.5+Q153/3.5+Z154/3.5</f>
        <v>2.4857142857142858</v>
      </c>
      <c r="I154" s="221">
        <f>C154*70+D154*45+E154*25+H154*75+G154*60+F154*150</f>
        <v>661.23214285714289</v>
      </c>
      <c r="J154" s="64"/>
      <c r="K154" s="64"/>
      <c r="L154" s="145" t="str">
        <f t="shared" si="294"/>
        <v/>
      </c>
      <c r="M154" s="64" t="s">
        <v>9</v>
      </c>
      <c r="N154" s="64">
        <v>0.05</v>
      </c>
      <c r="O154" s="145" t="str">
        <f t="shared" si="267"/>
        <v>公斤</v>
      </c>
      <c r="P154" s="64" t="s">
        <v>7</v>
      </c>
      <c r="Q154" s="64">
        <v>4.5</v>
      </c>
      <c r="R154" s="145" t="str">
        <f t="shared" si="268"/>
        <v>公斤</v>
      </c>
      <c r="S154" s="64" t="s">
        <v>117</v>
      </c>
      <c r="T154" s="64">
        <v>0.05</v>
      </c>
      <c r="U154" s="145" t="str">
        <f t="shared" si="269"/>
        <v>公斤</v>
      </c>
      <c r="V154" s="64" t="s">
        <v>9</v>
      </c>
      <c r="W154" s="64">
        <v>0.05</v>
      </c>
      <c r="X154" s="145" t="str">
        <f t="shared" si="270"/>
        <v>公斤</v>
      </c>
      <c r="Y154" s="64" t="s">
        <v>291</v>
      </c>
      <c r="Z154" s="62">
        <v>1.7</v>
      </c>
      <c r="AA154" s="145" t="str">
        <f t="shared" si="271"/>
        <v>公斤</v>
      </c>
      <c r="AB154" s="62"/>
      <c r="AC154" s="62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</row>
    <row r="155" spans="1:51" ht="16.2">
      <c r="A155" s="57"/>
      <c r="B155" s="58"/>
      <c r="C155" s="59"/>
      <c r="D155" s="59"/>
      <c r="E155" s="59"/>
      <c r="F155" s="59"/>
      <c r="G155" s="59"/>
      <c r="H155" s="59"/>
      <c r="I155" s="67"/>
      <c r="J155" s="64"/>
      <c r="K155" s="64"/>
      <c r="L155" s="145" t="str">
        <f t="shared" si="266"/>
        <v/>
      </c>
      <c r="M155" s="64"/>
      <c r="N155" s="64"/>
      <c r="O155" s="145" t="str">
        <f t="shared" si="267"/>
        <v/>
      </c>
      <c r="P155" s="64" t="s">
        <v>8</v>
      </c>
      <c r="Q155" s="64">
        <v>0.5</v>
      </c>
      <c r="R155" s="145" t="str">
        <f t="shared" si="268"/>
        <v>公斤</v>
      </c>
      <c r="S155" s="64" t="s">
        <v>140</v>
      </c>
      <c r="T155" s="64">
        <v>0.2</v>
      </c>
      <c r="U155" s="145" t="str">
        <f t="shared" si="269"/>
        <v>公斤</v>
      </c>
      <c r="V155" s="64"/>
      <c r="W155" s="64"/>
      <c r="X155" s="145" t="str">
        <f t="shared" si="270"/>
        <v/>
      </c>
      <c r="Y155" s="64" t="s">
        <v>444</v>
      </c>
      <c r="Z155" s="62">
        <v>2</v>
      </c>
      <c r="AA155" s="145" t="str">
        <f t="shared" si="271"/>
        <v>公斤</v>
      </c>
      <c r="AB155" s="62"/>
      <c r="AC155" s="62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</row>
    <row r="156" spans="1:51" ht="16.2">
      <c r="A156" s="57"/>
      <c r="B156" s="58"/>
      <c r="C156" s="59"/>
      <c r="D156" s="59"/>
      <c r="E156" s="59"/>
      <c r="F156" s="59"/>
      <c r="G156" s="59"/>
      <c r="H156" s="59"/>
      <c r="I156" s="59"/>
      <c r="J156" s="64"/>
      <c r="K156" s="64"/>
      <c r="L156" s="145" t="str">
        <f t="shared" si="266"/>
        <v/>
      </c>
      <c r="M156" s="64"/>
      <c r="N156" s="64"/>
      <c r="O156" s="145" t="str">
        <f t="shared" si="267"/>
        <v/>
      </c>
      <c r="P156" s="62"/>
      <c r="Q156" s="62"/>
      <c r="R156" s="145" t="str">
        <f t="shared" si="268"/>
        <v/>
      </c>
      <c r="S156" s="82"/>
      <c r="T156" s="82"/>
      <c r="U156" s="145" t="str">
        <f t="shared" si="269"/>
        <v/>
      </c>
      <c r="V156" s="64"/>
      <c r="W156" s="64"/>
      <c r="X156" s="145" t="str">
        <f t="shared" si="270"/>
        <v/>
      </c>
      <c r="Y156" s="64" t="s">
        <v>8</v>
      </c>
      <c r="Z156" s="64">
        <v>0.5</v>
      </c>
      <c r="AA156" s="145" t="str">
        <f t="shared" si="271"/>
        <v>公斤</v>
      </c>
      <c r="AB156" s="62"/>
      <c r="AC156" s="62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</row>
    <row r="157" spans="1:51" ht="16.2">
      <c r="A157" s="57"/>
      <c r="B157" s="58"/>
      <c r="C157" s="59"/>
      <c r="D157" s="59"/>
      <c r="E157" s="59"/>
      <c r="F157" s="59"/>
      <c r="G157" s="59"/>
      <c r="H157" s="59"/>
      <c r="I157" s="59"/>
      <c r="J157" s="64"/>
      <c r="K157" s="64"/>
      <c r="L157" s="145" t="str">
        <f t="shared" si="266"/>
        <v/>
      </c>
      <c r="M157" s="64"/>
      <c r="N157" s="64"/>
      <c r="O157" s="145" t="str">
        <f t="shared" si="267"/>
        <v/>
      </c>
      <c r="P157" s="64"/>
      <c r="Q157" s="64"/>
      <c r="R157" s="145" t="str">
        <f t="shared" si="268"/>
        <v/>
      </c>
      <c r="S157" s="62"/>
      <c r="T157" s="62"/>
      <c r="U157" s="145" t="str">
        <f t="shared" si="269"/>
        <v/>
      </c>
      <c r="V157" s="64"/>
      <c r="W157" s="64"/>
      <c r="X157" s="145" t="str">
        <f t="shared" si="270"/>
        <v/>
      </c>
      <c r="Y157" s="64" t="s">
        <v>95</v>
      </c>
      <c r="Z157" s="64">
        <v>0.01</v>
      </c>
      <c r="AA157" s="145" t="str">
        <f t="shared" si="271"/>
        <v>公斤</v>
      </c>
      <c r="AB157" s="62"/>
      <c r="AC157" s="62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</row>
    <row r="158" spans="1:51" ht="16.8" thickBot="1">
      <c r="A158" s="71"/>
      <c r="B158" s="72"/>
      <c r="C158" s="73"/>
      <c r="D158" s="73"/>
      <c r="E158" s="73"/>
      <c r="F158" s="73"/>
      <c r="G158" s="73"/>
      <c r="H158" s="73"/>
      <c r="I158" s="73"/>
      <c r="J158" s="84"/>
      <c r="K158" s="84"/>
      <c r="L158" s="145" t="str">
        <f t="shared" si="266"/>
        <v/>
      </c>
      <c r="M158" s="84"/>
      <c r="N158" s="84"/>
      <c r="O158" s="145" t="str">
        <f t="shared" si="267"/>
        <v/>
      </c>
      <c r="P158" s="84"/>
      <c r="Q158" s="84"/>
      <c r="R158" s="145" t="str">
        <f t="shared" si="268"/>
        <v/>
      </c>
      <c r="S158" s="76"/>
      <c r="T158" s="76"/>
      <c r="U158" s="145" t="str">
        <f t="shared" si="269"/>
        <v/>
      </c>
      <c r="V158" s="84"/>
      <c r="W158" s="84"/>
      <c r="X158" s="145" t="str">
        <f t="shared" si="270"/>
        <v/>
      </c>
      <c r="Y158" s="84" t="s">
        <v>315</v>
      </c>
      <c r="Z158" s="84">
        <v>0.01</v>
      </c>
      <c r="AA158" s="145" t="str">
        <f t="shared" si="271"/>
        <v>公斤</v>
      </c>
      <c r="AB158" s="75"/>
      <c r="AC158" s="75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</row>
    <row r="159" spans="1:51" ht="15" customHeight="1">
      <c r="A159" s="52" t="s">
        <v>33</v>
      </c>
      <c r="B159" s="53" t="s">
        <v>276</v>
      </c>
      <c r="C159" s="54">
        <f>C161</f>
        <v>6.333333333333333</v>
      </c>
      <c r="D159" s="54">
        <f>(E159+H159)/2</f>
        <v>2.5157954545454544</v>
      </c>
      <c r="E159" s="54">
        <f>E161+(T160+T161+T162+T163)/10</f>
        <v>2.2999999999999998</v>
      </c>
      <c r="F159" s="54">
        <v>0</v>
      </c>
      <c r="G159" s="54">
        <v>0</v>
      </c>
      <c r="H159" s="54">
        <f>H161</f>
        <v>2.731590909090909</v>
      </c>
      <c r="I159" s="54">
        <f>C159*70+D159*45+E159*25+H159*75+G159*60+F159*150</f>
        <v>818.91344696969691</v>
      </c>
      <c r="J159" s="77" t="s">
        <v>295</v>
      </c>
      <c r="K159" s="78"/>
      <c r="L159" s="66"/>
      <c r="M159" s="77" t="s">
        <v>445</v>
      </c>
      <c r="N159" s="56"/>
      <c r="O159" s="66"/>
      <c r="P159" s="55" t="s">
        <v>218</v>
      </c>
      <c r="Q159" s="56"/>
      <c r="R159" s="66"/>
      <c r="S159" s="55" t="s">
        <v>446</v>
      </c>
      <c r="T159" s="56"/>
      <c r="U159" s="66"/>
      <c r="V159" s="55" t="s">
        <v>92</v>
      </c>
      <c r="W159" s="78"/>
      <c r="X159" s="89"/>
      <c r="Y159" s="77" t="s">
        <v>447</v>
      </c>
      <c r="Z159" s="78"/>
      <c r="AA159" s="91"/>
      <c r="AB159" s="79" t="s">
        <v>283</v>
      </c>
      <c r="AC159" s="91" t="s">
        <v>56</v>
      </c>
      <c r="AD159" s="51" t="str">
        <f>A159</f>
        <v>E4</v>
      </c>
      <c r="AE159" s="47" t="str">
        <f>J159</f>
        <v>糙米飯</v>
      </c>
      <c r="AF159" s="47" t="str">
        <f>J160&amp;" "&amp;J161&amp;" "&amp;J162&amp;" "&amp;J163&amp;" "&amp;J164&amp;" "&amp;J165</f>
        <v xml:space="preserve">米 糙米    </v>
      </c>
      <c r="AG159" s="47" t="str">
        <f>M159</f>
        <v>照燒雞</v>
      </c>
      <c r="AH159" s="47" t="str">
        <f>M160&amp;" "&amp;M161&amp;" "&amp;M162&amp;" "&amp;M163&amp;" "&amp;M164&amp;" "&amp;M165</f>
        <v xml:space="preserve">肉雞 洋蔥 胡蘿蔔 醬油 紅砂糖 </v>
      </c>
      <c r="AI159" s="47" t="str">
        <f>P159</f>
        <v>絲瓜蛋豆腐</v>
      </c>
      <c r="AJ159" s="47" t="str">
        <f>P160&amp;" "&amp;P161&amp;" "&amp;P162&amp;" "&amp;P163&amp;" "&amp;P164&amp;" "&amp;P165</f>
        <v xml:space="preserve">豆腐 絲瓜 雞蛋 大蒜  </v>
      </c>
      <c r="AK159" s="47" t="str">
        <f>S159</f>
        <v>奶油白菜</v>
      </c>
      <c r="AL159" s="47" t="str">
        <f>S160&amp;" "&amp;S161&amp;" "&amp;S162&amp;" "&amp;S163&amp;" "&amp;S164&amp;" "&amp;S165</f>
        <v>結球白菜 鴻喜菇 甜椒(紅皮) 甜椒(黃皮) 大蒜 奶油(固態)</v>
      </c>
      <c r="AM159" s="47" t="str">
        <f>V159</f>
        <v>時蔬</v>
      </c>
      <c r="AN159" s="47" t="str">
        <f>V160&amp;" "&amp;V161&amp;" "&amp;V162&amp;" "&amp;V163&amp;" "&amp;V164&amp;" "&amp;V165</f>
        <v xml:space="preserve">蔬菜 大蒜    </v>
      </c>
      <c r="AO159" s="47" t="str">
        <f>Y159</f>
        <v>椰漿西米露</v>
      </c>
      <c r="AP159" s="47" t="str">
        <f>Y160&amp;" "&amp;Y161&amp;" "&amp;Y162&amp;" "&amp;Y163&amp;" "&amp;Y164&amp;" "&amp;Y165</f>
        <v xml:space="preserve">西谷米 紅砂糖 椰漿   </v>
      </c>
      <c r="AQ159" s="51" t="str">
        <f>AB159</f>
        <v>點心</v>
      </c>
      <c r="AR159" s="51" t="str">
        <f>AC159</f>
        <v>有機豆奶</v>
      </c>
      <c r="AS159" s="86">
        <f t="shared" ref="AS159" si="301">C159</f>
        <v>6.333333333333333</v>
      </c>
      <c r="AT159" s="86">
        <f t="shared" ref="AT159" si="302">H159</f>
        <v>2.731590909090909</v>
      </c>
      <c r="AU159" s="86">
        <f t="shared" ref="AU159" si="303">E159</f>
        <v>2.2999999999999998</v>
      </c>
      <c r="AV159" s="86">
        <f t="shared" ref="AV159" si="304">D159</f>
        <v>2.5157954545454544</v>
      </c>
      <c r="AW159" s="86">
        <f t="shared" ref="AW159" si="305">F159</f>
        <v>0</v>
      </c>
      <c r="AX159" s="86">
        <f t="shared" ref="AX159" si="306">G159</f>
        <v>0</v>
      </c>
      <c r="AY159" s="86">
        <f t="shared" ref="AY159" si="307">I159</f>
        <v>818.91344696969691</v>
      </c>
    </row>
    <row r="160" spans="1:51" ht="16.2">
      <c r="A160" s="57"/>
      <c r="B160" s="58"/>
      <c r="C160" s="59"/>
      <c r="D160" s="59"/>
      <c r="E160" s="59"/>
      <c r="F160" s="59"/>
      <c r="G160" s="59"/>
      <c r="H160" s="59"/>
      <c r="I160" s="60"/>
      <c r="J160" s="61" t="s">
        <v>284</v>
      </c>
      <c r="K160" s="62">
        <v>7</v>
      </c>
      <c r="L160" s="145" t="str">
        <f t="shared" ref="L160:L161" si="308">IF(K160,"公斤","")</f>
        <v>公斤</v>
      </c>
      <c r="M160" s="63" t="s">
        <v>6</v>
      </c>
      <c r="N160" s="64">
        <v>9</v>
      </c>
      <c r="O160" s="145" t="str">
        <f t="shared" ref="O160" si="309">IF(N160,"公斤","")</f>
        <v>公斤</v>
      </c>
      <c r="P160" s="64" t="s">
        <v>220</v>
      </c>
      <c r="Q160" s="64">
        <v>2.5</v>
      </c>
      <c r="R160" s="145" t="str">
        <f t="shared" ref="R160" si="310">IF(Q160,"公斤","")</f>
        <v>公斤</v>
      </c>
      <c r="S160" s="64" t="s">
        <v>323</v>
      </c>
      <c r="T160" s="64">
        <v>6</v>
      </c>
      <c r="U160" s="145" t="str">
        <f t="shared" ref="U160" si="311">IF(T160,"公斤","")</f>
        <v>公斤</v>
      </c>
      <c r="V160" s="64" t="s">
        <v>223</v>
      </c>
      <c r="W160" s="64">
        <v>7</v>
      </c>
      <c r="X160" s="145" t="str">
        <f t="shared" ref="X160" si="312">IF(W160,"公斤","")</f>
        <v>公斤</v>
      </c>
      <c r="Y160" s="62" t="s">
        <v>448</v>
      </c>
      <c r="Z160" s="62">
        <v>2</v>
      </c>
      <c r="AA160" s="145" t="str">
        <f t="shared" ref="AA160" si="313">IF(Z160,"公斤","")</f>
        <v>公斤</v>
      </c>
      <c r="AB160" s="62" t="s">
        <v>283</v>
      </c>
      <c r="AC160" s="62" t="s">
        <v>56</v>
      </c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</row>
    <row r="161" spans="1:44" ht="16.2">
      <c r="A161" s="57"/>
      <c r="B161" s="218" t="s">
        <v>557</v>
      </c>
      <c r="C161" s="219">
        <f>K160/2+K161/2+Z160/1.5</f>
        <v>6.333333333333333</v>
      </c>
      <c r="D161" s="219">
        <f>(E161+H161)/2</f>
        <v>2.1157954545454545</v>
      </c>
      <c r="E161" s="219">
        <f>(N161+N162+Q161+W160)/10</f>
        <v>1.5</v>
      </c>
      <c r="F161" s="219">
        <f t="shared" ref="F161:G161" si="314">F159</f>
        <v>0</v>
      </c>
      <c r="G161" s="219">
        <f t="shared" si="314"/>
        <v>0</v>
      </c>
      <c r="H161" s="220">
        <f>N160*0.77/3+Q160/8+Q162/5.5</f>
        <v>2.731590909090909</v>
      </c>
      <c r="I161" s="221">
        <f>C161*70+D161*45+E161*25+H161*75+G161*60+F161*150</f>
        <v>780.91344696969691</v>
      </c>
      <c r="J161" s="61" t="s">
        <v>287</v>
      </c>
      <c r="K161" s="62">
        <v>3</v>
      </c>
      <c r="L161" s="145" t="str">
        <f t="shared" si="308"/>
        <v>公斤</v>
      </c>
      <c r="M161" s="63" t="s">
        <v>7</v>
      </c>
      <c r="N161" s="64">
        <v>3</v>
      </c>
      <c r="O161" s="145" t="str">
        <f t="shared" si="267"/>
        <v>公斤</v>
      </c>
      <c r="P161" s="64" t="s">
        <v>221</v>
      </c>
      <c r="Q161" s="64">
        <v>4.5</v>
      </c>
      <c r="R161" s="145" t="str">
        <f t="shared" si="268"/>
        <v>公斤</v>
      </c>
      <c r="S161" s="64" t="s">
        <v>303</v>
      </c>
      <c r="T161" s="64">
        <v>1</v>
      </c>
      <c r="U161" s="145" t="str">
        <f t="shared" si="269"/>
        <v>公斤</v>
      </c>
      <c r="V161" s="64" t="s">
        <v>9</v>
      </c>
      <c r="W161" s="64">
        <v>0.05</v>
      </c>
      <c r="X161" s="145" t="str">
        <f t="shared" si="270"/>
        <v>公斤</v>
      </c>
      <c r="Y161" s="62" t="s">
        <v>77</v>
      </c>
      <c r="Z161" s="62">
        <v>1</v>
      </c>
      <c r="AA161" s="145" t="str">
        <f t="shared" si="271"/>
        <v>公斤</v>
      </c>
      <c r="AB161" s="62"/>
      <c r="AC161" s="62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</row>
    <row r="162" spans="1:44" ht="16.2">
      <c r="A162" s="57"/>
      <c r="B162" s="58"/>
      <c r="C162" s="59"/>
      <c r="D162" s="59"/>
      <c r="E162" s="59"/>
      <c r="F162" s="59"/>
      <c r="G162" s="59"/>
      <c r="H162" s="59"/>
      <c r="I162" s="67"/>
      <c r="J162" s="61"/>
      <c r="K162" s="62"/>
      <c r="L162" s="145" t="str">
        <f t="shared" si="266"/>
        <v/>
      </c>
      <c r="M162" s="63" t="s">
        <v>8</v>
      </c>
      <c r="N162" s="64">
        <v>0.5</v>
      </c>
      <c r="O162" s="145" t="str">
        <f t="shared" si="267"/>
        <v>公斤</v>
      </c>
      <c r="P162" s="64" t="s">
        <v>28</v>
      </c>
      <c r="Q162" s="64">
        <v>0.6</v>
      </c>
      <c r="R162" s="145" t="str">
        <f t="shared" si="268"/>
        <v>公斤</v>
      </c>
      <c r="S162" s="64" t="s">
        <v>211</v>
      </c>
      <c r="T162" s="64">
        <v>0.5</v>
      </c>
      <c r="U162" s="145" t="str">
        <f t="shared" si="269"/>
        <v>公斤</v>
      </c>
      <c r="V162" s="64"/>
      <c r="W162" s="64"/>
      <c r="X162" s="145" t="str">
        <f t="shared" si="270"/>
        <v/>
      </c>
      <c r="Y162" s="62" t="s">
        <v>449</v>
      </c>
      <c r="Z162" s="62">
        <v>0.5</v>
      </c>
      <c r="AA162" s="145" t="str">
        <f t="shared" si="271"/>
        <v>公斤</v>
      </c>
      <c r="AB162" s="62"/>
      <c r="AC162" s="62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</row>
    <row r="163" spans="1:44" ht="16.2">
      <c r="A163" s="57"/>
      <c r="B163" s="58"/>
      <c r="C163" s="59"/>
      <c r="D163" s="59"/>
      <c r="E163" s="59"/>
      <c r="F163" s="59"/>
      <c r="G163" s="59"/>
      <c r="H163" s="59"/>
      <c r="I163" s="59"/>
      <c r="J163" s="61"/>
      <c r="K163" s="62"/>
      <c r="L163" s="145" t="str">
        <f t="shared" si="266"/>
        <v/>
      </c>
      <c r="M163" s="63" t="s">
        <v>222</v>
      </c>
      <c r="N163" s="64"/>
      <c r="O163" s="145" t="str">
        <f t="shared" si="267"/>
        <v/>
      </c>
      <c r="P163" s="64" t="s">
        <v>9</v>
      </c>
      <c r="Q163" s="64">
        <v>0.05</v>
      </c>
      <c r="R163" s="145" t="str">
        <f t="shared" si="268"/>
        <v>公斤</v>
      </c>
      <c r="S163" s="64" t="s">
        <v>397</v>
      </c>
      <c r="T163" s="64">
        <v>0.5</v>
      </c>
      <c r="U163" s="145" t="str">
        <f t="shared" si="269"/>
        <v>公斤</v>
      </c>
      <c r="V163" s="64"/>
      <c r="W163" s="64"/>
      <c r="X163" s="145" t="str">
        <f t="shared" si="270"/>
        <v/>
      </c>
      <c r="Y163" s="62"/>
      <c r="Z163" s="62"/>
      <c r="AA163" s="145" t="str">
        <f t="shared" si="271"/>
        <v/>
      </c>
      <c r="AB163" s="62"/>
      <c r="AC163" s="62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</row>
    <row r="164" spans="1:44" ht="16.2">
      <c r="A164" s="57"/>
      <c r="B164" s="58"/>
      <c r="C164" s="59"/>
      <c r="D164" s="59"/>
      <c r="E164" s="59"/>
      <c r="F164" s="59"/>
      <c r="G164" s="59"/>
      <c r="H164" s="59"/>
      <c r="I164" s="59"/>
      <c r="J164" s="61"/>
      <c r="K164" s="62"/>
      <c r="L164" s="145" t="str">
        <f t="shared" si="266"/>
        <v/>
      </c>
      <c r="M164" s="63" t="s">
        <v>77</v>
      </c>
      <c r="N164" s="64"/>
      <c r="O164" s="145" t="str">
        <f t="shared" si="267"/>
        <v/>
      </c>
      <c r="P164" s="64"/>
      <c r="Q164" s="64"/>
      <c r="R164" s="145" t="str">
        <f t="shared" si="268"/>
        <v/>
      </c>
      <c r="S164" s="64" t="s">
        <v>9</v>
      </c>
      <c r="T164" s="64">
        <v>0.05</v>
      </c>
      <c r="U164" s="145" t="str">
        <f t="shared" si="269"/>
        <v>公斤</v>
      </c>
      <c r="V164" s="64"/>
      <c r="W164" s="64"/>
      <c r="X164" s="145" t="str">
        <f t="shared" si="270"/>
        <v/>
      </c>
      <c r="Y164" s="62"/>
      <c r="Z164" s="62"/>
      <c r="AA164" s="145" t="str">
        <f t="shared" si="271"/>
        <v/>
      </c>
      <c r="AB164" s="62"/>
      <c r="AC164" s="62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</row>
    <row r="165" spans="1:44" ht="16.8" thickBot="1">
      <c r="A165" s="71"/>
      <c r="B165" s="72"/>
      <c r="C165" s="73"/>
      <c r="D165" s="73"/>
      <c r="E165" s="73"/>
      <c r="F165" s="73"/>
      <c r="G165" s="73"/>
      <c r="H165" s="73"/>
      <c r="I165" s="73"/>
      <c r="J165" s="74"/>
      <c r="K165" s="75"/>
      <c r="L165" s="145" t="str">
        <f t="shared" si="266"/>
        <v/>
      </c>
      <c r="M165" s="75"/>
      <c r="N165" s="75"/>
      <c r="O165" s="145" t="str">
        <f t="shared" si="267"/>
        <v/>
      </c>
      <c r="P165" s="75"/>
      <c r="Q165" s="75"/>
      <c r="R165" s="145" t="str">
        <f t="shared" si="268"/>
        <v/>
      </c>
      <c r="S165" s="75" t="s">
        <v>212</v>
      </c>
      <c r="T165" s="75">
        <v>0.6</v>
      </c>
      <c r="U165" s="145" t="str">
        <f t="shared" si="269"/>
        <v>公斤</v>
      </c>
      <c r="V165" s="75"/>
      <c r="W165" s="75"/>
      <c r="X165" s="145" t="str">
        <f t="shared" si="270"/>
        <v/>
      </c>
      <c r="Y165" s="75"/>
      <c r="Z165" s="75"/>
      <c r="AA165" s="145" t="str">
        <f t="shared" si="271"/>
        <v/>
      </c>
      <c r="AB165" s="75"/>
      <c r="AC165" s="75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</row>
    <row r="166" spans="1:44" ht="15.6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51"/>
      <c r="AR166" s="1"/>
    </row>
    <row r="167" spans="1:44" ht="15.6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6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6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6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6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6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6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6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6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6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6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6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6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6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6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6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6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6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6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6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6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6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6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6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6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6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6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6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6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6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6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6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6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6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6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6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6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6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6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6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6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6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6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6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6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6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6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6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6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6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6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6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6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6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6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6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6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6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6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6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6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6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6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6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6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6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6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6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6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6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6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6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6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6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6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6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6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6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6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6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6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6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6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6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6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6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6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6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6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6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6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6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6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6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6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6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6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6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6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6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6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6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6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6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6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6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6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6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6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6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6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6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6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6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6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6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6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6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6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6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6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6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6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6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6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6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6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6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6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6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6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6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6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6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6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6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6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6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6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6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6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6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6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6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6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6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6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6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6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6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6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6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6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6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6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6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6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6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6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6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6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6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6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6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6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6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6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6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6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6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6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6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6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6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6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6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6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6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6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6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6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6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6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6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6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6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6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6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6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6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6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6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6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6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6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6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6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6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6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6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6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6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6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6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6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6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6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6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6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6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6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6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6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6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6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6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6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6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6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6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6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6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6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6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6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6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6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6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6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6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6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6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6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6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6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6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6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6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6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6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6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6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6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6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6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6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6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6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6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6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6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6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6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6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6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6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6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6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6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6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6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6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6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6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6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6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6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6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6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6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6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6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6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6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6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6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6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6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6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6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6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6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6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6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6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6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6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6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6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6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6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6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6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6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6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6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6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6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6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6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6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6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6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6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6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6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6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6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6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6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6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6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6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6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6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6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6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6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6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6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6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6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6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6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6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6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6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6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6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6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6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6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6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6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6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6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6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6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6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6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6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6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6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6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6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6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6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6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6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6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6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6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6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6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6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6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6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6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6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6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6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6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6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6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6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6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6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6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6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6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6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6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6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6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6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6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6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6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6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6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6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6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6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6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6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6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6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6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6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6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6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6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6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6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6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6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6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6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6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6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6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6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6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6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6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6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6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6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6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6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6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6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6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6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6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6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6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6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6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6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6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6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6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6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6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6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6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6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6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6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6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6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6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6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6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6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6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6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6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6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6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6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6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6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6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6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6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6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6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6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6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6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6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6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6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6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6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6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6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6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6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6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6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6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6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6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6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6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6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6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6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6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6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6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6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6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6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6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6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6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6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6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6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6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6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6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6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6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6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6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6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6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6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6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6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6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6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6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6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6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6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6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6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6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6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6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6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6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6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6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6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</sheetData>
  <mergeCells count="19">
    <mergeCell ref="AB1:AC1"/>
    <mergeCell ref="P131:Q131"/>
    <mergeCell ref="S131:T131"/>
    <mergeCell ref="J1:L1"/>
    <mergeCell ref="M1:O1"/>
    <mergeCell ref="P1:R1"/>
    <mergeCell ref="A2:AC2"/>
    <mergeCell ref="A3:AC3"/>
    <mergeCell ref="M96:N96"/>
    <mergeCell ref="J5:K5"/>
    <mergeCell ref="M5:N5"/>
    <mergeCell ref="P5:Q5"/>
    <mergeCell ref="S5:T5"/>
    <mergeCell ref="V5:W5"/>
    <mergeCell ref="Y89:Z89"/>
    <mergeCell ref="J89:K89"/>
    <mergeCell ref="V1:X1"/>
    <mergeCell ref="A1:I1"/>
    <mergeCell ref="Y1:AA1"/>
  </mergeCells>
  <phoneticPr fontId="26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85" zoomScaleNormal="85" workbookViewId="0">
      <pane ySplit="4" topLeftCell="A5" activePane="bottomLeft" state="frozen"/>
      <selection pane="bottomLeft" activeCell="C5" sqref="C5:W6"/>
    </sheetView>
  </sheetViews>
  <sheetFormatPr defaultColWidth="11.19921875" defaultRowHeight="15" customHeight="1"/>
  <cols>
    <col min="1" max="1" width="5.5" style="153" bestFit="1" customWidth="1"/>
    <col min="2" max="2" width="5.19921875" style="154" customWidth="1"/>
    <col min="3" max="3" width="11.59765625" style="154" customWidth="1"/>
    <col min="4" max="4" width="8.8984375" style="154" customWidth="1"/>
    <col min="5" max="5" width="11.59765625" style="154" customWidth="1"/>
    <col min="6" max="6" width="8.8984375" style="154" customWidth="1"/>
    <col min="7" max="7" width="11.59765625" style="154" customWidth="1"/>
    <col min="8" max="8" width="8.8984375" style="154" customWidth="1"/>
    <col min="9" max="9" width="11.59765625" style="154" customWidth="1"/>
    <col min="10" max="10" width="8.8984375" style="154" customWidth="1"/>
    <col min="11" max="11" width="5.69921875" style="154" customWidth="1"/>
    <col min="12" max="12" width="8.8984375" style="154" customWidth="1"/>
    <col min="13" max="13" width="16.09765625" style="154" bestFit="1" customWidth="1"/>
    <col min="14" max="14" width="8.8984375" style="154" customWidth="1"/>
    <col min="15" max="16" width="11.59765625" style="154" customWidth="1"/>
    <col min="17" max="22" width="4" style="154" customWidth="1"/>
    <col min="23" max="23" width="5.69921875" style="154" customWidth="1"/>
    <col min="24" max="16384" width="11.19921875" style="154"/>
  </cols>
  <sheetData>
    <row r="1" spans="1:23" ht="35.25" customHeight="1" thickBot="1">
      <c r="A1" s="272" t="s">
        <v>548</v>
      </c>
      <c r="B1" s="264"/>
      <c r="C1" s="264"/>
      <c r="D1" s="264"/>
      <c r="E1" s="273" t="s">
        <v>563</v>
      </c>
      <c r="F1" s="273"/>
      <c r="G1" s="273" t="s">
        <v>567</v>
      </c>
      <c r="H1" s="273"/>
      <c r="I1" s="264" t="s">
        <v>556</v>
      </c>
      <c r="J1" s="264"/>
      <c r="K1" s="264" t="s">
        <v>564</v>
      </c>
      <c r="L1" s="264"/>
      <c r="M1" s="264" t="s">
        <v>550</v>
      </c>
      <c r="N1" s="264"/>
      <c r="O1" s="264" t="s">
        <v>0</v>
      </c>
      <c r="P1" s="265"/>
    </row>
    <row r="2" spans="1:23" ht="15.75" customHeight="1" thickBot="1">
      <c r="B2" s="155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23" ht="15.75" customHeight="1" thickBot="1">
      <c r="A3" s="277" t="s">
        <v>551</v>
      </c>
      <c r="B3" s="268" t="s">
        <v>552</v>
      </c>
      <c r="C3" s="268" t="s">
        <v>518</v>
      </c>
      <c r="D3" s="279" t="s">
        <v>524</v>
      </c>
      <c r="E3" s="268" t="s">
        <v>519</v>
      </c>
      <c r="F3" s="266" t="s">
        <v>525</v>
      </c>
      <c r="G3" s="268" t="s">
        <v>520</v>
      </c>
      <c r="H3" s="266" t="s">
        <v>526</v>
      </c>
      <c r="I3" s="268" t="s">
        <v>521</v>
      </c>
      <c r="J3" s="266" t="s">
        <v>527</v>
      </c>
      <c r="K3" s="268" t="s">
        <v>522</v>
      </c>
      <c r="L3" s="266" t="s">
        <v>528</v>
      </c>
      <c r="M3" s="268" t="s">
        <v>523</v>
      </c>
      <c r="N3" s="266" t="s">
        <v>529</v>
      </c>
      <c r="O3" s="268" t="s">
        <v>553</v>
      </c>
      <c r="P3" s="270" t="s">
        <v>554</v>
      </c>
      <c r="Q3" s="274" t="s">
        <v>547</v>
      </c>
      <c r="R3" s="275"/>
      <c r="S3" s="275"/>
      <c r="T3" s="275"/>
      <c r="U3" s="275"/>
      <c r="V3" s="275"/>
      <c r="W3" s="276"/>
    </row>
    <row r="4" spans="1:23" ht="15.75" customHeight="1" thickBot="1">
      <c r="A4" s="278"/>
      <c r="B4" s="269"/>
      <c r="C4" s="269"/>
      <c r="D4" s="280"/>
      <c r="E4" s="269"/>
      <c r="F4" s="267"/>
      <c r="G4" s="269"/>
      <c r="H4" s="267"/>
      <c r="I4" s="269"/>
      <c r="J4" s="267"/>
      <c r="K4" s="269"/>
      <c r="L4" s="267"/>
      <c r="M4" s="269"/>
      <c r="N4" s="267"/>
      <c r="O4" s="269"/>
      <c r="P4" s="271"/>
      <c r="Q4" s="156" t="s">
        <v>530</v>
      </c>
      <c r="R4" s="157" t="s">
        <v>531</v>
      </c>
      <c r="S4" s="157" t="s">
        <v>532</v>
      </c>
      <c r="T4" s="157" t="s">
        <v>533</v>
      </c>
      <c r="U4" s="157" t="s">
        <v>534</v>
      </c>
      <c r="V4" s="157" t="s">
        <v>535</v>
      </c>
      <c r="W4" s="158" t="s">
        <v>536</v>
      </c>
    </row>
    <row r="5" spans="1:23" ht="18.75" customHeight="1">
      <c r="A5" s="175">
        <v>45168</v>
      </c>
      <c r="B5" s="205" t="str">
        <f>'非偏鄉國中(葷)'!AD5</f>
        <v>A3</v>
      </c>
      <c r="C5" s="206" t="str">
        <f>'非偏鄉國中(葷)'!AE5</f>
        <v>拌飯特餐</v>
      </c>
      <c r="D5" s="207" t="str">
        <f>'非偏鄉國中(葷)'!AF5</f>
        <v xml:space="preserve">米     </v>
      </c>
      <c r="E5" s="206" t="str">
        <f>'非偏鄉國中(葷)'!AG5</f>
        <v>鳳梨蝦仁</v>
      </c>
      <c r="F5" s="207" t="str">
        <f>'非偏鄉國中(葷)'!AH5</f>
        <v xml:space="preserve">蝦仁 鳳梨罐頭 洋蔥 番茄醬  </v>
      </c>
      <c r="G5" s="206" t="str">
        <f>'非偏鄉國中(葷)'!AI5</f>
        <v>拌飯配料</v>
      </c>
      <c r="H5" s="207" t="str">
        <f>'非偏鄉國中(葷)'!AJ5</f>
        <v xml:space="preserve">胡蘿蔔 甘藍 冷凍玉米粒 大蒜 肉鬆 </v>
      </c>
      <c r="I5" s="206" t="str">
        <f>'非偏鄉國中(葷)'!AK5</f>
        <v>咖哩花椰</v>
      </c>
      <c r="J5" s="207" t="str">
        <f>'非偏鄉國中(葷)'!AL5</f>
        <v xml:space="preserve">冷凍花椰菜 大蒜 豬後腿肉 咖哩粉  </v>
      </c>
      <c r="K5" s="206" t="str">
        <f>'非偏鄉國中(葷)'!AM5</f>
        <v>時蔬</v>
      </c>
      <c r="L5" s="207" t="str">
        <f>'非偏鄉國中(葷)'!AN5</f>
        <v xml:space="preserve">蔬菜 大蒜    </v>
      </c>
      <c r="M5" s="206" t="str">
        <f>'非偏鄉國中(葷)'!AO5</f>
        <v>蘿蔔魚丸湯</v>
      </c>
      <c r="N5" s="207" t="str">
        <f>'非偏鄉國中(葷)'!AP5</f>
        <v xml:space="preserve">魚丸 白蘿蔔 薑   </v>
      </c>
      <c r="O5" s="206" t="str">
        <f>'非偏鄉國中(葷)'!AQ5</f>
        <v>點心</v>
      </c>
      <c r="P5" s="206">
        <f>'非偏鄉國中(葷)'!AR5</f>
        <v>0</v>
      </c>
      <c r="Q5" s="302">
        <f>'非偏鄉國中(葷)'!AS5</f>
        <v>5.1764705882352944</v>
      </c>
      <c r="R5" s="302">
        <f>'非偏鄉國中(葷)'!AT5</f>
        <v>1.8818181818181818</v>
      </c>
      <c r="S5" s="302">
        <f>'非偏鄉國中(葷)'!AU5</f>
        <v>2.25</v>
      </c>
      <c r="T5" s="302">
        <f>'非偏鄉國中(葷)'!AV5</f>
        <v>2.0659090909090909</v>
      </c>
      <c r="U5" s="302">
        <f>'非偏鄉國中(葷)'!AW5</f>
        <v>0</v>
      </c>
      <c r="V5" s="302">
        <f>'非偏鄉國中(葷)'!AX5</f>
        <v>7.3170731707317069E-2</v>
      </c>
      <c r="W5" s="302">
        <f>'非偏鄉國中(葷)'!AY5</f>
        <v>657.09545780618237</v>
      </c>
    </row>
    <row r="6" spans="1:23" ht="18.75" customHeight="1">
      <c r="A6" s="163">
        <f>A5+1</f>
        <v>45169</v>
      </c>
      <c r="B6" s="164" t="str">
        <f>'非偏鄉國中(葷)'!AD12</f>
        <v>A4</v>
      </c>
      <c r="C6" s="165" t="str">
        <f>'非偏鄉國中(葷)'!AE12</f>
        <v>糙米飯</v>
      </c>
      <c r="D6" s="166" t="str">
        <f>'非偏鄉國中(葷)'!AF12</f>
        <v xml:space="preserve">米 糙米    </v>
      </c>
      <c r="E6" s="165" t="str">
        <f>'非偏鄉國中(葷)'!AG12</f>
        <v>打拋豬</v>
      </c>
      <c r="F6" s="166" t="str">
        <f>'非偏鄉國中(葷)'!AH12</f>
        <v xml:space="preserve">豬絞肉 刈薯 九層塔 洋蔥 大番茄 </v>
      </c>
      <c r="G6" s="165" t="str">
        <f>'非偏鄉國中(葷)'!AI12</f>
        <v>奶油蒜香雙菇</v>
      </c>
      <c r="H6" s="166" t="str">
        <f>'非偏鄉國中(葷)'!AJ12</f>
        <v xml:space="preserve">秀珍菇 鴻喜菇 甜椒(紅皮) 豬後腿肉 奶油(固態) </v>
      </c>
      <c r="I6" s="165" t="str">
        <f>'非偏鄉國中(葷)'!AK12</f>
        <v>筍干油腐</v>
      </c>
      <c r="J6" s="166" t="str">
        <f>'非偏鄉國中(葷)'!AL12</f>
        <v xml:space="preserve">四角油豆腐 麻竹筍干 胡蘿蔔 大蒜  </v>
      </c>
      <c r="K6" s="165" t="str">
        <f>'非偏鄉國中(葷)'!AM12</f>
        <v>時蔬</v>
      </c>
      <c r="L6" s="166" t="str">
        <f>'非偏鄉國中(葷)'!AN12</f>
        <v xml:space="preserve">蔬菜 大蒜    </v>
      </c>
      <c r="M6" s="165" t="str">
        <f>'非偏鄉國中(葷)'!AO12</f>
        <v>綠豆湯</v>
      </c>
      <c r="N6" s="166" t="str">
        <f>'非偏鄉國中(葷)'!AP12</f>
        <v xml:space="preserve">綠豆 紅砂糖    </v>
      </c>
      <c r="O6" s="165" t="str">
        <f>'非偏鄉國中(葷)'!AQ12</f>
        <v>點心</v>
      </c>
      <c r="P6" s="165">
        <f>'非偏鄉國中(葷)'!AR12</f>
        <v>0</v>
      </c>
      <c r="Q6" s="303">
        <f>'非偏鄉國中(葷)'!AS12</f>
        <v>5.8</v>
      </c>
      <c r="R6" s="303">
        <f>'非偏鄉國中(葷)'!AT12</f>
        <v>2.2545454545454544</v>
      </c>
      <c r="S6" s="303">
        <f>'非偏鄉國中(葷)'!AU12</f>
        <v>1.97</v>
      </c>
      <c r="T6" s="303">
        <f>'非偏鄉國中(葷)'!AV12</f>
        <v>2.1122727272727273</v>
      </c>
      <c r="U6" s="303">
        <f>'非偏鄉國中(葷)'!AW12</f>
        <v>0</v>
      </c>
      <c r="V6" s="303">
        <f>'非偏鄉國中(葷)'!AX12</f>
        <v>0</v>
      </c>
      <c r="W6" s="303">
        <f>'非偏鄉國中(葷)'!AY12</f>
        <v>719.39318181818192</v>
      </c>
    </row>
    <row r="7" spans="1:23" ht="18.75" customHeight="1" thickBot="1">
      <c r="A7" s="167">
        <f t="shared" ref="A7:A27" si="0">A6+1</f>
        <v>45170</v>
      </c>
      <c r="B7" s="164" t="str">
        <f>'非偏鄉國中(葷)'!AD19</f>
        <v>A5</v>
      </c>
      <c r="C7" s="165" t="str">
        <f>'非偏鄉國中(葷)'!AE19</f>
        <v>紅藜飯</v>
      </c>
      <c r="D7" s="166" t="str">
        <f>'非偏鄉國中(葷)'!AF19</f>
        <v xml:space="preserve">米 紅藜    </v>
      </c>
      <c r="E7" s="165" t="str">
        <f>'非偏鄉國中(葷)'!AG19</f>
        <v>堅果蔥燒雞</v>
      </c>
      <c r="F7" s="166" t="str">
        <f>'非偏鄉國中(葷)'!AH19</f>
        <v xml:space="preserve">肉雞 時蔬 腰果 南瓜子 紅蔥頭 </v>
      </c>
      <c r="G7" s="165" t="str">
        <f>'非偏鄉國中(葷)'!AI19</f>
        <v>關東煮</v>
      </c>
      <c r="H7" s="166" t="str">
        <f>'非偏鄉國中(葷)'!AJ19</f>
        <v xml:space="preserve">黑輪 白蘿蔔 玉米 柴魚片 胡蘿蔔 </v>
      </c>
      <c r="I7" s="165" t="str">
        <f>'非偏鄉國中(葷)'!AK19</f>
        <v>沙茶寬粉</v>
      </c>
      <c r="J7" s="166" t="str">
        <f>'非偏鄉國中(葷)'!AL19</f>
        <v>寬粉 時蔬 乾木耳 大蒜 沙茶醬 豬絞肉</v>
      </c>
      <c r="K7" s="165" t="str">
        <f>'非偏鄉國中(葷)'!AM19</f>
        <v>時蔬</v>
      </c>
      <c r="L7" s="166" t="str">
        <f>'非偏鄉國中(葷)'!AN19</f>
        <v xml:space="preserve">蔬菜 大蒜    </v>
      </c>
      <c r="M7" s="165" t="str">
        <f>'非偏鄉國中(葷)'!AO19</f>
        <v>時瓜湯</v>
      </c>
      <c r="N7" s="166" t="str">
        <f>'非偏鄉國中(葷)'!AP19</f>
        <v xml:space="preserve">時瓜 大骨 胡蘿蔔 薑  </v>
      </c>
      <c r="O7" s="165" t="str">
        <f>'非偏鄉國中(葷)'!AQ19</f>
        <v>點心</v>
      </c>
      <c r="P7" s="165" t="str">
        <f>'非偏鄉國中(葷)'!AR19</f>
        <v>有機豆奶</v>
      </c>
      <c r="Q7" s="303">
        <f>'非偏鄉國中(葷)'!AS19</f>
        <v>7.6000000000000005</v>
      </c>
      <c r="R7" s="303">
        <f>'非偏鄉國中(葷)'!AT19</f>
        <v>2.6100000000000003</v>
      </c>
      <c r="S7" s="303">
        <f>'非偏鄉國中(葷)'!AU19</f>
        <v>2.0499999999999998</v>
      </c>
      <c r="T7" s="303">
        <f>'非偏鄉國中(葷)'!AV19</f>
        <v>2.33</v>
      </c>
      <c r="U7" s="303">
        <f>'非偏鄉國中(葷)'!AW19</f>
        <v>0</v>
      </c>
      <c r="V7" s="303">
        <f>'非偏鄉國中(葷)'!AX19</f>
        <v>0</v>
      </c>
      <c r="W7" s="303">
        <f>'非偏鄉國中(葷)'!AY19</f>
        <v>883.85</v>
      </c>
    </row>
    <row r="8" spans="1:23" ht="18.75" customHeight="1">
      <c r="A8" s="159">
        <f>A7+3</f>
        <v>45173</v>
      </c>
      <c r="B8" s="160" t="str">
        <f>'非偏鄉國中(葷)'!AD26</f>
        <v>B1</v>
      </c>
      <c r="C8" s="161" t="str">
        <f>'非偏鄉國中(葷)'!AE26</f>
        <v>白米飯</v>
      </c>
      <c r="D8" s="162" t="str">
        <f>'非偏鄉國中(葷)'!AF26</f>
        <v xml:space="preserve">米     </v>
      </c>
      <c r="E8" s="161" t="str">
        <f>'非偏鄉國中(葷)'!AG26</f>
        <v>回鍋肉片</v>
      </c>
      <c r="F8" s="162" t="str">
        <f>'非偏鄉國中(葷)'!AH26</f>
        <v xml:space="preserve">豬後腿肉 洋蔥 胡蘿蔔 大蒜  </v>
      </c>
      <c r="G8" s="161" t="str">
        <f>'非偏鄉國中(葷)'!AI26</f>
        <v>蛋香白菜</v>
      </c>
      <c r="H8" s="162" t="str">
        <f>'非偏鄉國中(葷)'!AJ26</f>
        <v xml:space="preserve">雞蛋 結球白菜 胡蘿蔔 大蒜  </v>
      </c>
      <c r="I8" s="161" t="str">
        <f>'非偏鄉國中(葷)'!AK26</f>
        <v>蜜汁豆干</v>
      </c>
      <c r="J8" s="162" t="str">
        <f>'非偏鄉國中(葷)'!AL26</f>
        <v xml:space="preserve">芝麻(熟) 豆干 大蒜 滷包  </v>
      </c>
      <c r="K8" s="161" t="str">
        <f>'非偏鄉國中(葷)'!AM26</f>
        <v>時蔬</v>
      </c>
      <c r="L8" s="162" t="str">
        <f>'非偏鄉國中(葷)'!AN26</f>
        <v xml:space="preserve">蔬菜 大蒜    </v>
      </c>
      <c r="M8" s="161" t="str">
        <f>'非偏鄉國中(葷)'!AO26</f>
        <v>時蔬大骨湯</v>
      </c>
      <c r="N8" s="162" t="str">
        <f>'非偏鄉國中(葷)'!AP26</f>
        <v xml:space="preserve">時蔬 大骨 薑 枸杞  </v>
      </c>
      <c r="O8" s="161" t="str">
        <f>'非偏鄉國中(葷)'!AQ26</f>
        <v>點心</v>
      </c>
      <c r="P8" s="161">
        <f>'非偏鄉國中(葷)'!AR26</f>
        <v>0</v>
      </c>
      <c r="Q8" s="304">
        <f>'非偏鄉國中(葷)'!AS26</f>
        <v>5</v>
      </c>
      <c r="R8" s="304">
        <f>'非偏鄉國中(葷)'!AT26</f>
        <v>3.2142857142857144</v>
      </c>
      <c r="S8" s="304">
        <f>'非偏鄉國中(葷)'!AU26</f>
        <v>1.95</v>
      </c>
      <c r="T8" s="304">
        <f>'非偏鄉國中(葷)'!AV26</f>
        <v>2.5821428571428573</v>
      </c>
      <c r="U8" s="304">
        <f>'非偏鄉國中(葷)'!AW26</f>
        <v>0</v>
      </c>
      <c r="V8" s="304">
        <f>'非偏鄉國中(葷)'!AX26</f>
        <v>0</v>
      </c>
      <c r="W8" s="304">
        <f>'非偏鄉國中(葷)'!AY26</f>
        <v>756.01785714285711</v>
      </c>
    </row>
    <row r="9" spans="1:23" ht="18.75" customHeight="1">
      <c r="A9" s="163">
        <f t="shared" si="0"/>
        <v>45174</v>
      </c>
      <c r="B9" s="164" t="str">
        <f>'非偏鄉國中(葷)'!AD33</f>
        <v>B2</v>
      </c>
      <c r="C9" s="165" t="str">
        <f>'非偏鄉國中(葷)'!AE33</f>
        <v>糙米飯</v>
      </c>
      <c r="D9" s="166" t="str">
        <f>'非偏鄉國中(葷)'!AF33</f>
        <v xml:space="preserve">米 糙米    </v>
      </c>
      <c r="E9" s="165" t="str">
        <f>'非偏鄉國中(葷)'!AG33</f>
        <v>香滷雞翅</v>
      </c>
      <c r="F9" s="166" t="str">
        <f>'非偏鄉國中(葷)'!AH33</f>
        <v xml:space="preserve">三節翅 滷包    </v>
      </c>
      <c r="G9" s="165" t="str">
        <f>'非偏鄉國中(葷)'!AI33</f>
        <v>番茄凍腐</v>
      </c>
      <c r="H9" s="166" t="str">
        <f>'非偏鄉國中(葷)'!AJ33</f>
        <v xml:space="preserve">凍豆腐 大番茄 青蔥 洋蔥 薑 </v>
      </c>
      <c r="I9" s="165" t="str">
        <f>'非偏鄉國中(葷)'!AK33</f>
        <v>田園花椰</v>
      </c>
      <c r="J9" s="166" t="str">
        <f>'非偏鄉國中(葷)'!AL33</f>
        <v xml:space="preserve">冷凍花椰菜 馬鈴薯 胡蘿蔔 大蒜  </v>
      </c>
      <c r="K9" s="165" t="str">
        <f>'非偏鄉國中(葷)'!AM33</f>
        <v>時蔬</v>
      </c>
      <c r="L9" s="166" t="str">
        <f>'非偏鄉國中(葷)'!AN33</f>
        <v xml:space="preserve">蔬菜 大蒜    </v>
      </c>
      <c r="M9" s="165" t="str">
        <f>'非偏鄉國中(葷)'!AO33</f>
        <v>味噌海芽湯</v>
      </c>
      <c r="N9" s="166" t="str">
        <f>'非偏鄉國中(葷)'!AP33</f>
        <v xml:space="preserve">乾裙帶菜 味噌 白蘿蔔 薑  </v>
      </c>
      <c r="O9" s="165" t="str">
        <f>'非偏鄉國中(葷)'!AQ33</f>
        <v>點心</v>
      </c>
      <c r="P9" s="165">
        <f>'非偏鄉國中(葷)'!AR33</f>
        <v>0</v>
      </c>
      <c r="Q9" s="303">
        <f>'非偏鄉國中(葷)'!AS33</f>
        <v>5.2</v>
      </c>
      <c r="R9" s="303">
        <f>'非偏鄉國中(葷)'!AT33</f>
        <v>2.81</v>
      </c>
      <c r="S9" s="303">
        <f>'非偏鄉國中(葷)'!AU33</f>
        <v>2.1800000000000002</v>
      </c>
      <c r="T9" s="303">
        <f>'非偏鄉國中(葷)'!AV33</f>
        <v>2.4950000000000001</v>
      </c>
      <c r="U9" s="303">
        <f>'非偏鄉國中(葷)'!AW33</f>
        <v>0</v>
      </c>
      <c r="V9" s="303">
        <f>'非偏鄉國中(葷)'!AX33</f>
        <v>0</v>
      </c>
      <c r="W9" s="303">
        <f>'非偏鄉國中(葷)'!AY33</f>
        <v>741.52499999999998</v>
      </c>
    </row>
    <row r="10" spans="1:23" ht="18.75" customHeight="1">
      <c r="A10" s="163">
        <f t="shared" si="0"/>
        <v>45175</v>
      </c>
      <c r="B10" s="164" t="str">
        <f>'非偏鄉國中(葷)'!AD40</f>
        <v>B3</v>
      </c>
      <c r="C10" s="165" t="str">
        <f>'非偏鄉國中(葷)'!AE40</f>
        <v>越式特餐</v>
      </c>
      <c r="D10" s="166" t="str">
        <f>'非偏鄉國中(葷)'!AF40</f>
        <v xml:space="preserve">米粉     </v>
      </c>
      <c r="E10" s="165" t="str">
        <f>'非偏鄉國中(葷)'!AG40</f>
        <v>特餐配料</v>
      </c>
      <c r="F10" s="166" t="str">
        <f>'非偏鄉國中(葷)'!AH40</f>
        <v xml:space="preserve">豬後腿肉 甘藍 大蒜 九層塔  </v>
      </c>
      <c r="G10" s="165" t="str">
        <f>'非偏鄉國中(葷)'!AI40</f>
        <v>肉絲豆芽</v>
      </c>
      <c r="H10" s="166" t="str">
        <f>'非偏鄉國中(葷)'!AJ40</f>
        <v xml:space="preserve">綠豆芽 豬後腿肉 大蒜   </v>
      </c>
      <c r="I10" s="165" t="str">
        <f>'非偏鄉國中(葷)'!AK40</f>
        <v>香檸花枝丸</v>
      </c>
      <c r="J10" s="166" t="str">
        <f>'非偏鄉國中(葷)'!AL40</f>
        <v xml:space="preserve">花枝丸 檸檬椒鹽    </v>
      </c>
      <c r="K10" s="165" t="str">
        <f>'非偏鄉國中(葷)'!AM40</f>
        <v>時蔬</v>
      </c>
      <c r="L10" s="166" t="str">
        <f>'非偏鄉國中(葷)'!AN40</f>
        <v xml:space="preserve">蔬菜 大蒜    </v>
      </c>
      <c r="M10" s="165" t="str">
        <f>'非偏鄉國中(葷)'!AO40</f>
        <v>越式湯底</v>
      </c>
      <c r="N10" s="166" t="str">
        <f>'非偏鄉國中(葷)'!AP40</f>
        <v xml:space="preserve">白蘿蔔 胡蘿蔔 魚露 檸檬汁 南薑 </v>
      </c>
      <c r="O10" s="165" t="str">
        <f>'非偏鄉國中(葷)'!AQ40</f>
        <v>點心</v>
      </c>
      <c r="P10" s="165">
        <f>'非偏鄉國中(葷)'!AR40</f>
        <v>0</v>
      </c>
      <c r="Q10" s="303">
        <f>'非偏鄉國中(葷)'!AS40</f>
        <v>2</v>
      </c>
      <c r="R10" s="303">
        <f>'非偏鄉國中(葷)'!AT40</f>
        <v>2.5999999999999996</v>
      </c>
      <c r="S10" s="303">
        <f>'非偏鄉國中(葷)'!AU40</f>
        <v>2</v>
      </c>
      <c r="T10" s="303">
        <f>'非偏鄉國中(葷)'!AV40</f>
        <v>2.2999999999999998</v>
      </c>
      <c r="U10" s="303">
        <f>'非偏鄉國中(葷)'!AW40</f>
        <v>0</v>
      </c>
      <c r="V10" s="303">
        <f>'非偏鄉國中(葷)'!AX40</f>
        <v>0</v>
      </c>
      <c r="W10" s="303">
        <f>'非偏鄉國中(葷)'!AY40</f>
        <v>488.5</v>
      </c>
    </row>
    <row r="11" spans="1:23" ht="18.75" customHeight="1">
      <c r="A11" s="163">
        <f t="shared" si="0"/>
        <v>45176</v>
      </c>
      <c r="B11" s="164" t="str">
        <f>'非偏鄉國中(葷)'!AD47</f>
        <v>B4</v>
      </c>
      <c r="C11" s="165" t="str">
        <f>'非偏鄉國中(葷)'!AE47</f>
        <v>糙米飯</v>
      </c>
      <c r="D11" s="166" t="str">
        <f>'非偏鄉國中(葷)'!AF47</f>
        <v xml:space="preserve">米 糙米    </v>
      </c>
      <c r="E11" s="165" t="str">
        <f>'非偏鄉國中(葷)'!AG47</f>
        <v>沙茶魷魚</v>
      </c>
      <c r="F11" s="166" t="str">
        <f>'非偏鄉國中(葷)'!AH47</f>
        <v>魷魚圈 豬後腿肉 脆筍 沙茶醬 胡蘿蔔 大蒜</v>
      </c>
      <c r="G11" s="165" t="str">
        <f>'非偏鄉國中(葷)'!AI47</f>
        <v>螞蟻上樹</v>
      </c>
      <c r="H11" s="166" t="str">
        <f>'非偏鄉國中(葷)'!AJ47</f>
        <v xml:space="preserve">冬粉 豬絞肉 時蔬 胡蘿蔔 乾木耳 </v>
      </c>
      <c r="I11" s="165" t="str">
        <f>'非偏鄉國中(葷)'!AK47</f>
        <v>火腿炒蛋</v>
      </c>
      <c r="J11" s="166" t="str">
        <f>'非偏鄉國中(葷)'!AL47</f>
        <v xml:space="preserve">雞蛋 切片火腿(豬肉) 洋蔥 大蒜  </v>
      </c>
      <c r="K11" s="165" t="str">
        <f>'非偏鄉國中(葷)'!AM47</f>
        <v>時蔬</v>
      </c>
      <c r="L11" s="166" t="str">
        <f>'非偏鄉國中(葷)'!AN47</f>
        <v xml:space="preserve">蔬菜 大蒜    </v>
      </c>
      <c r="M11" s="165" t="str">
        <f>'非偏鄉國中(葷)'!AO47</f>
        <v>銀耳甜湯</v>
      </c>
      <c r="N11" s="166" t="str">
        <f>'非偏鄉國中(葷)'!AP47</f>
        <v xml:space="preserve">乾銀耳 紅砂糖 枸杞   </v>
      </c>
      <c r="O11" s="165" t="str">
        <f>'非偏鄉國中(葷)'!AQ47</f>
        <v>點心</v>
      </c>
      <c r="P11" s="165">
        <f>'非偏鄉國中(葷)'!AR47</f>
        <v>0</v>
      </c>
      <c r="Q11" s="303">
        <f>'非偏鄉國中(葷)'!AS47</f>
        <v>5.8</v>
      </c>
      <c r="R11" s="303">
        <f>'非偏鄉國中(葷)'!AT47</f>
        <v>3.5047619047619052</v>
      </c>
      <c r="S11" s="303">
        <f>'非偏鄉國中(葷)'!AU47</f>
        <v>1.9500000000000002</v>
      </c>
      <c r="T11" s="303">
        <f>'非偏鄉國中(葷)'!AV47</f>
        <v>2.7273809523809529</v>
      </c>
      <c r="U11" s="303">
        <f>'非偏鄉國中(葷)'!AW47</f>
        <v>0</v>
      </c>
      <c r="V11" s="303">
        <f>'非偏鄉國中(葷)'!AX47</f>
        <v>0</v>
      </c>
      <c r="W11" s="303">
        <f>'非偏鄉國中(葷)'!AY47</f>
        <v>840.33928571428578</v>
      </c>
    </row>
    <row r="12" spans="1:23" ht="18.75" customHeight="1" thickBot="1">
      <c r="A12" s="167">
        <f t="shared" si="0"/>
        <v>45177</v>
      </c>
      <c r="B12" s="164" t="str">
        <f>'非偏鄉國中(葷)'!AD54</f>
        <v>B5</v>
      </c>
      <c r="C12" s="165" t="str">
        <f>'非偏鄉國中(葷)'!AE54</f>
        <v>小米飯</v>
      </c>
      <c r="D12" s="166" t="str">
        <f>'非偏鄉國中(葷)'!AF54</f>
        <v xml:space="preserve">米 小米    </v>
      </c>
      <c r="E12" s="165" t="str">
        <f>'非偏鄉國中(葷)'!AG54</f>
        <v>京醬肉絲</v>
      </c>
      <c r="F12" s="166" t="str">
        <f>'非偏鄉國中(葷)'!AH54</f>
        <v xml:space="preserve">豬後腿肉 時蔬 胡蘿蔔 甜麵醬  </v>
      </c>
      <c r="G12" s="165" t="str">
        <f>'非偏鄉國中(葷)'!AI54</f>
        <v>塔香鮑菇</v>
      </c>
      <c r="H12" s="166" t="str">
        <f>'非偏鄉國中(葷)'!AJ54</f>
        <v xml:space="preserve">杏鮑菇 薑 九層塔   </v>
      </c>
      <c r="I12" s="165" t="str">
        <f>'非偏鄉國中(葷)'!AK54</f>
        <v>韮香干片</v>
      </c>
      <c r="J12" s="166" t="str">
        <f>'非偏鄉國中(葷)'!AL54</f>
        <v xml:space="preserve">豆干 韮菜 胡蘿蔔 大蒜  </v>
      </c>
      <c r="K12" s="165" t="str">
        <f>'非偏鄉國中(葷)'!AM54</f>
        <v>時蔬</v>
      </c>
      <c r="L12" s="166" t="str">
        <f>'非偏鄉國中(葷)'!AN54</f>
        <v xml:space="preserve">蔬菜 大蒜    </v>
      </c>
      <c r="M12" s="165" t="str">
        <f>'非偏鄉國中(葷)'!AO54</f>
        <v>冬瓜大骨湯</v>
      </c>
      <c r="N12" s="166" t="str">
        <f>'非偏鄉國中(葷)'!AP54</f>
        <v xml:space="preserve">冬瓜 大骨 薑   </v>
      </c>
      <c r="O12" s="165" t="str">
        <f>'非偏鄉國中(葷)'!AQ54</f>
        <v>點心</v>
      </c>
      <c r="P12" s="165" t="str">
        <f>'非偏鄉國中(葷)'!AR54</f>
        <v>有機豆奶</v>
      </c>
      <c r="Q12" s="303">
        <f>'非偏鄉國中(葷)'!AS54</f>
        <v>5.3666666666666671</v>
      </c>
      <c r="R12" s="303">
        <f>'非偏鄉國中(葷)'!AT54</f>
        <v>2.8142857142857141</v>
      </c>
      <c r="S12" s="303">
        <f>'非偏鄉國中(葷)'!AU54</f>
        <v>2.37</v>
      </c>
      <c r="T12" s="303">
        <f>'非偏鄉國中(葷)'!AV54</f>
        <v>2.5921428571428571</v>
      </c>
      <c r="U12" s="303">
        <f>'非偏鄉國中(葷)'!AW54</f>
        <v>0</v>
      </c>
      <c r="V12" s="303">
        <f>'非偏鄉國中(葷)'!AX54</f>
        <v>0</v>
      </c>
      <c r="W12" s="303">
        <f>'非偏鄉國中(葷)'!AY54</f>
        <v>762.63452380952378</v>
      </c>
    </row>
    <row r="13" spans="1:23" ht="18.75" customHeight="1">
      <c r="A13" s="159">
        <f>A12+3</f>
        <v>45180</v>
      </c>
      <c r="B13" s="160" t="str">
        <f>'非偏鄉國中(葷)'!AD61</f>
        <v>C1</v>
      </c>
      <c r="C13" s="161" t="str">
        <f>'非偏鄉國中(葷)'!AE61</f>
        <v>白米飯</v>
      </c>
      <c r="D13" s="162" t="str">
        <f>'非偏鄉國中(葷)'!AF61</f>
        <v xml:space="preserve">米     </v>
      </c>
      <c r="E13" s="161" t="str">
        <f>'非偏鄉國中(葷)'!AG61</f>
        <v>咖哩絞肉</v>
      </c>
      <c r="F13" s="162" t="str">
        <f>'非偏鄉國中(葷)'!AH61</f>
        <v xml:space="preserve">豬絞肉 馬鈴薯 胡蘿蔔 洋蔥 咖哩粉 </v>
      </c>
      <c r="G13" s="161" t="str">
        <f>'非偏鄉國中(葷)'!AI61</f>
        <v>蛋香玉菜</v>
      </c>
      <c r="H13" s="162" t="str">
        <f>'非偏鄉國中(葷)'!AJ61</f>
        <v xml:space="preserve">雞蛋 甘藍 大蒜   </v>
      </c>
      <c r="I13" s="161" t="str">
        <f>'非偏鄉國中(葷)'!AK61</f>
        <v>泰式魚丸</v>
      </c>
      <c r="J13" s="162" t="str">
        <f>'非偏鄉國中(葷)'!AL61</f>
        <v xml:space="preserve">魚丸 泰式甜辣醬    </v>
      </c>
      <c r="K13" s="161" t="str">
        <f>'非偏鄉國中(葷)'!AM61</f>
        <v>時蔬</v>
      </c>
      <c r="L13" s="162" t="str">
        <f>'非偏鄉國中(葷)'!AN61</f>
        <v xml:space="preserve">蔬菜 大蒜    </v>
      </c>
      <c r="M13" s="161" t="str">
        <f>'非偏鄉國中(葷)'!AO61</f>
        <v>羅宋湯</v>
      </c>
      <c r="N13" s="162" t="str">
        <f>'非偏鄉國中(葷)'!AP61</f>
        <v xml:space="preserve">洋蔥 芹菜 大番茄   </v>
      </c>
      <c r="O13" s="161" t="str">
        <f>'非偏鄉國中(葷)'!AQ61</f>
        <v>點心</v>
      </c>
      <c r="P13" s="161">
        <f>'非偏鄉國中(葷)'!AR61</f>
        <v>0</v>
      </c>
      <c r="Q13" s="304">
        <f>'非偏鄉國中(葷)'!AS61</f>
        <v>5.333333333333333</v>
      </c>
      <c r="R13" s="304">
        <f>'非偏鄉國中(葷)'!AT61</f>
        <v>2.9324675324675322</v>
      </c>
      <c r="S13" s="304">
        <f>'非偏鄉國中(葷)'!AU61</f>
        <v>1.95</v>
      </c>
      <c r="T13" s="304">
        <f>'非偏鄉國中(葷)'!AV61</f>
        <v>2.4412337662337662</v>
      </c>
      <c r="U13" s="304">
        <f>'非偏鄉國中(葷)'!AW61</f>
        <v>0</v>
      </c>
      <c r="V13" s="304">
        <f>'非偏鄉國中(葷)'!AX61</f>
        <v>0</v>
      </c>
      <c r="W13" s="304">
        <f>'非偏鄉國中(葷)'!AY61</f>
        <v>751.87391774891773</v>
      </c>
    </row>
    <row r="14" spans="1:23" ht="18.75" customHeight="1">
      <c r="A14" s="163">
        <f t="shared" si="0"/>
        <v>45181</v>
      </c>
      <c r="B14" s="164" t="str">
        <f>'非偏鄉國中(葷)'!AD68</f>
        <v>C2</v>
      </c>
      <c r="C14" s="165" t="str">
        <f>'非偏鄉國中(葷)'!AE68</f>
        <v>糙米飯</v>
      </c>
      <c r="D14" s="166" t="str">
        <f>'非偏鄉國中(葷)'!AF68</f>
        <v xml:space="preserve">米 糙米    </v>
      </c>
      <c r="E14" s="165" t="str">
        <f>'非偏鄉國中(葷)'!AG68</f>
        <v>花瓜燒雞</v>
      </c>
      <c r="F14" s="166" t="str">
        <f>'非偏鄉國中(葷)'!AH68</f>
        <v xml:space="preserve">肉雞 醃漬花胡瓜 胡蘿蔔 大蒜  </v>
      </c>
      <c r="G14" s="165" t="str">
        <f>'非偏鄉國中(葷)'!AI68</f>
        <v>鮮燴時蔬</v>
      </c>
      <c r="H14" s="166" t="str">
        <f>'非偏鄉國中(葷)'!AJ68</f>
        <v xml:space="preserve">冷凍玉米筍 豬後腿肉 脆筍 秀珍菇 大蒜 </v>
      </c>
      <c r="I14" s="165" t="str">
        <f>'非偏鄉國中(葷)'!AK68</f>
        <v>豆包瓜粒</v>
      </c>
      <c r="J14" s="166" t="str">
        <f>'非偏鄉國中(葷)'!AL68</f>
        <v xml:space="preserve">豆包 冬瓜 胡蘿蔔 大蒜  </v>
      </c>
      <c r="K14" s="165" t="str">
        <f>'非偏鄉國中(葷)'!AM68</f>
        <v>時蔬</v>
      </c>
      <c r="L14" s="166" t="str">
        <f>'非偏鄉國中(葷)'!AN68</f>
        <v xml:space="preserve">蔬菜 大蒜    </v>
      </c>
      <c r="M14" s="165" t="str">
        <f>'非偏鄉國中(葷)'!AO68</f>
        <v>時蔬大骨湯</v>
      </c>
      <c r="N14" s="166" t="str">
        <f>'非偏鄉國中(葷)'!AP68</f>
        <v xml:space="preserve">時蔬 大骨 胡蘿蔔 薑  </v>
      </c>
      <c r="O14" s="165" t="str">
        <f>'非偏鄉國中(葷)'!AQ68</f>
        <v>點心</v>
      </c>
      <c r="P14" s="165">
        <f>'非偏鄉國中(葷)'!AR68</f>
        <v>0</v>
      </c>
      <c r="Q14" s="303">
        <f>'非偏鄉國中(葷)'!AS68</f>
        <v>5</v>
      </c>
      <c r="R14" s="303">
        <f>'非偏鄉國中(葷)'!AT68</f>
        <v>3.0385714285714287</v>
      </c>
      <c r="S14" s="303">
        <f>'非偏鄉國中(葷)'!AU68</f>
        <v>2.5</v>
      </c>
      <c r="T14" s="303">
        <f>'非偏鄉國中(葷)'!AV68</f>
        <v>2.7692857142857141</v>
      </c>
      <c r="U14" s="303">
        <f>'非偏鄉國中(葷)'!AW68</f>
        <v>0</v>
      </c>
      <c r="V14" s="303">
        <f>'非偏鄉國中(葷)'!AX68</f>
        <v>0</v>
      </c>
      <c r="W14" s="303">
        <f>'非偏鄉國中(葷)'!AY68</f>
        <v>765.01071428571424</v>
      </c>
    </row>
    <row r="15" spans="1:23" ht="18.75" customHeight="1">
      <c r="A15" s="163">
        <f t="shared" si="0"/>
        <v>45182</v>
      </c>
      <c r="B15" s="164" t="str">
        <f>'非偏鄉國中(葷)'!AD75</f>
        <v>C3</v>
      </c>
      <c r="C15" s="165" t="str">
        <f>'非偏鄉國中(葷)'!AE75</f>
        <v>丼飯特餐</v>
      </c>
      <c r="D15" s="166" t="str">
        <f>'非偏鄉國中(葷)'!AF75</f>
        <v xml:space="preserve">米 糙米    </v>
      </c>
      <c r="E15" s="165" t="str">
        <f>'非偏鄉國中(葷)'!AG75</f>
        <v>香酥魚排</v>
      </c>
      <c r="F15" s="166" t="str">
        <f>'非偏鄉國中(葷)'!AH75</f>
        <v xml:space="preserve">魚排 大蒜    </v>
      </c>
      <c r="G15" s="165" t="str">
        <f>'非偏鄉國中(葷)'!AI75</f>
        <v>丼飯配料</v>
      </c>
      <c r="H15" s="166" t="str">
        <f>'非偏鄉國中(葷)'!AJ75</f>
        <v>豬絞肉 時蔬 胡蘿蔔 冷凍玉米粒 大蒜 海苔絲</v>
      </c>
      <c r="I15" s="165" t="str">
        <f>'非偏鄉國中(葷)'!AK75</f>
        <v>鐵板油腐</v>
      </c>
      <c r="J15" s="166" t="str">
        <f>'非偏鄉國中(葷)'!AL75</f>
        <v xml:space="preserve">四角油豆腐 甜椒(青皮) 胡蘿蔔 大蒜  </v>
      </c>
      <c r="K15" s="165" t="str">
        <f>'非偏鄉國中(葷)'!AM75</f>
        <v>時蔬</v>
      </c>
      <c r="L15" s="166" t="str">
        <f>'非偏鄉國中(葷)'!AN75</f>
        <v xml:space="preserve">蔬菜 大蒜    </v>
      </c>
      <c r="M15" s="165" t="str">
        <f>'非偏鄉國中(葷)'!AO75</f>
        <v>大醬湯</v>
      </c>
      <c r="N15" s="166" t="str">
        <f>'非偏鄉國中(葷)'!AP75</f>
        <v xml:space="preserve">時蔬 味噌 柴魚片   </v>
      </c>
      <c r="O15" s="165" t="str">
        <f>'非偏鄉國中(葷)'!AQ75</f>
        <v>點心</v>
      </c>
      <c r="P15" s="165">
        <f>'非偏鄉國中(葷)'!AR75</f>
        <v>0</v>
      </c>
      <c r="Q15" s="303">
        <f>'非偏鄉國中(葷)'!AS75</f>
        <v>5.2352941176470589</v>
      </c>
      <c r="R15" s="303">
        <f>'非偏鄉國中(葷)'!AT75</f>
        <v>3.4991341991341991</v>
      </c>
      <c r="S15" s="303">
        <f>'非偏鄉國中(葷)'!AU75</f>
        <v>1.8039999999999998</v>
      </c>
      <c r="T15" s="303">
        <f>'非偏鄉國中(葷)'!AV75</f>
        <v>2.6515670995670995</v>
      </c>
      <c r="U15" s="303">
        <f>'非偏鄉國中(葷)'!AW75</f>
        <v>0</v>
      </c>
      <c r="V15" s="303">
        <f>'非偏鄉國中(葷)'!AX75</f>
        <v>0</v>
      </c>
      <c r="W15" s="303">
        <f>'非偏鄉國中(葷)'!AY75</f>
        <v>793.32617265087856</v>
      </c>
    </row>
    <row r="16" spans="1:23" ht="18.75" customHeight="1">
      <c r="A16" s="163">
        <f t="shared" si="0"/>
        <v>45183</v>
      </c>
      <c r="B16" s="164" t="str">
        <f>'非偏鄉國中(葷)'!AD82</f>
        <v>C4</v>
      </c>
      <c r="C16" s="165" t="str">
        <f>'非偏鄉國中(葷)'!AE82</f>
        <v>糙米飯</v>
      </c>
      <c r="D16" s="166" t="str">
        <f>'非偏鄉國中(葷)'!AF82</f>
        <v xml:space="preserve">米 糙米    </v>
      </c>
      <c r="E16" s="165" t="str">
        <f>'非偏鄉國中(葷)'!AG82</f>
        <v>筍干肉角</v>
      </c>
      <c r="F16" s="166" t="str">
        <f>'非偏鄉國中(葷)'!AH82</f>
        <v xml:space="preserve">豬後腿肉 麻竹筍干 胡蘿蔔 大蒜  </v>
      </c>
      <c r="G16" s="165" t="str">
        <f>'非偏鄉國中(葷)'!AI82</f>
        <v>西滷菜</v>
      </c>
      <c r="H16" s="166" t="str">
        <f>'非偏鄉國中(葷)'!AJ82</f>
        <v xml:space="preserve">雞蛋 結球白菜 胡蘿蔔 大蒜 乾木耳 </v>
      </c>
      <c r="I16" s="165" t="str">
        <f>'非偏鄉國中(葷)'!AK82</f>
        <v>培根季豆</v>
      </c>
      <c r="J16" s="166" t="str">
        <f>'非偏鄉國中(葷)'!AL82</f>
        <v xml:space="preserve">冷凍菜豆(莢) 大蒜 培根   </v>
      </c>
      <c r="K16" s="165" t="str">
        <f>'非偏鄉國中(葷)'!AM82</f>
        <v>時蔬</v>
      </c>
      <c r="L16" s="166" t="str">
        <f>'非偏鄉國中(葷)'!AN82</f>
        <v xml:space="preserve">蔬菜 大蒜    </v>
      </c>
      <c r="M16" s="165" t="str">
        <f>'非偏鄉國中(葷)'!AO82</f>
        <v>麥仁甜湯</v>
      </c>
      <c r="N16" s="166" t="str">
        <f>'非偏鄉國中(葷)'!AP82</f>
        <v xml:space="preserve">大麥仁 紅砂糖    </v>
      </c>
      <c r="O16" s="165" t="str">
        <f>'非偏鄉國中(葷)'!AQ82</f>
        <v>點心</v>
      </c>
      <c r="P16" s="165">
        <f>'非偏鄉國中(葷)'!AR82</f>
        <v>0</v>
      </c>
      <c r="Q16" s="303">
        <f>'非偏鄉國中(葷)'!AS82</f>
        <v>6</v>
      </c>
      <c r="R16" s="303">
        <f>'非偏鄉國中(葷)'!AT82</f>
        <v>1.9506493506493505</v>
      </c>
      <c r="S16" s="303">
        <f>'非偏鄉國中(葷)'!AU82</f>
        <v>2.4500000000000002</v>
      </c>
      <c r="T16" s="303">
        <f>'非偏鄉國中(葷)'!AV82</f>
        <v>2.4003246753246756</v>
      </c>
      <c r="U16" s="303">
        <f>'非偏鄉國中(葷)'!AW82</f>
        <v>0</v>
      </c>
      <c r="V16" s="303">
        <f>'非偏鄉國中(葷)'!AX82</f>
        <v>0</v>
      </c>
      <c r="W16" s="303">
        <f>'非偏鄉國中(葷)'!AY82</f>
        <v>735.56331168831173</v>
      </c>
    </row>
    <row r="17" spans="1:23" ht="18.75" customHeight="1" thickBot="1">
      <c r="A17" s="167">
        <f t="shared" si="0"/>
        <v>45184</v>
      </c>
      <c r="B17" s="164" t="str">
        <f>'非偏鄉國中(葷)'!AD89</f>
        <v>C5</v>
      </c>
      <c r="C17" s="165" t="str">
        <f>'非偏鄉國中(葷)'!AE89</f>
        <v>紫米飯</v>
      </c>
      <c r="D17" s="166" t="str">
        <f>'非偏鄉國中(葷)'!AF89</f>
        <v xml:space="preserve">米 黑秈糯米    </v>
      </c>
      <c r="E17" s="165" t="str">
        <f>'非偏鄉國中(葷)'!AG89</f>
        <v>蒜泥肉片</v>
      </c>
      <c r="F17" s="166" t="str">
        <f>'非偏鄉國中(葷)'!AH89</f>
        <v xml:space="preserve">豬後腿肉 甘藍 大蒜   </v>
      </c>
      <c r="G17" s="165" t="str">
        <f>'非偏鄉國中(葷)'!AI89</f>
        <v>玉米炒蛋</v>
      </c>
      <c r="H17" s="166" t="str">
        <f>'非偏鄉國中(葷)'!AJ89</f>
        <v xml:space="preserve">雞蛋 冷凍玉米粒 紅蘿蔔 大蒜 洋蔥 </v>
      </c>
      <c r="I17" s="165" t="str">
        <f>'非偏鄉國中(葷)'!AK89</f>
        <v>菇拌海帶</v>
      </c>
      <c r="J17" s="166" t="str">
        <f>'非偏鄉國中(葷)'!AL89</f>
        <v xml:space="preserve">乾裙帶菜 金針菇 大蒜   </v>
      </c>
      <c r="K17" s="165" t="str">
        <f>'非偏鄉國中(葷)'!AM89</f>
        <v>時蔬</v>
      </c>
      <c r="L17" s="166" t="str">
        <f>'非偏鄉國中(葷)'!AN89</f>
        <v xml:space="preserve">蔬菜 大蒜    </v>
      </c>
      <c r="M17" s="165" t="str">
        <f>'非偏鄉國中(葷)'!AO89</f>
        <v>四神湯</v>
      </c>
      <c r="N17" s="166" t="str">
        <f>'非偏鄉國中(葷)'!AP89</f>
        <v xml:space="preserve">四神 白蘿蔔 薑   </v>
      </c>
      <c r="O17" s="165" t="str">
        <f>'非偏鄉國中(葷)'!AQ89</f>
        <v>點心</v>
      </c>
      <c r="P17" s="165" t="str">
        <f>'非偏鄉國中(葷)'!AR89</f>
        <v>有機豆奶</v>
      </c>
      <c r="Q17" s="303">
        <f>'非偏鄉國中(葷)'!AS89</f>
        <v>6.7098039215686276</v>
      </c>
      <c r="R17" s="303">
        <f>'非偏鄉國中(葷)'!AT89</f>
        <v>2.3506493506493507</v>
      </c>
      <c r="S17" s="303">
        <f>'非偏鄉國中(葷)'!AU89</f>
        <v>1.9500000000000002</v>
      </c>
      <c r="T17" s="303">
        <f>'非偏鄉國中(葷)'!AV89</f>
        <v>2.1503246753246756</v>
      </c>
      <c r="U17" s="303">
        <f>'非偏鄉國中(葷)'!AW89</f>
        <v>0</v>
      </c>
      <c r="V17" s="303">
        <f>'非偏鄉國中(葷)'!AX89</f>
        <v>0</v>
      </c>
      <c r="W17" s="303">
        <f>'非偏鄉國中(葷)'!AY89</f>
        <v>791.49958619811559</v>
      </c>
    </row>
    <row r="18" spans="1:23" ht="18.75" customHeight="1">
      <c r="A18" s="159">
        <f>A17+3</f>
        <v>45187</v>
      </c>
      <c r="B18" s="168" t="str">
        <f>'非偏鄉國中(葷)'!AD96</f>
        <v>D1</v>
      </c>
      <c r="C18" s="169" t="str">
        <f>'非偏鄉國中(葷)'!AE96</f>
        <v>白米飯</v>
      </c>
      <c r="D18" s="170" t="str">
        <f>'非偏鄉國中(葷)'!AF96</f>
        <v xml:space="preserve">米     </v>
      </c>
      <c r="E18" s="169" t="str">
        <f>'非偏鄉國中(葷)'!AG96</f>
        <v>炸花枝排</v>
      </c>
      <c r="F18" s="170" t="str">
        <f>'非偏鄉國中(葷)'!AH96</f>
        <v xml:space="preserve">花枝排     </v>
      </c>
      <c r="G18" s="169" t="str">
        <f>'非偏鄉國中(葷)'!AI96</f>
        <v>絞肉冬瓜</v>
      </c>
      <c r="H18" s="170" t="str">
        <f>'非偏鄉國中(葷)'!AJ96</f>
        <v xml:space="preserve">豬絞肉 冬瓜 胡蘿蔔 大蒜  </v>
      </c>
      <c r="I18" s="169" t="str">
        <f>'非偏鄉國中(葷)'!AK96</f>
        <v>毛豆干丁</v>
      </c>
      <c r="J18" s="170" t="str">
        <f>'非偏鄉國中(葷)'!AL96</f>
        <v xml:space="preserve">冷凍毛豆仁 豆干 胡蘿蔔 生鮮花生仁 香油 </v>
      </c>
      <c r="K18" s="169" t="str">
        <f>'非偏鄉國中(葷)'!AM96</f>
        <v>時蔬</v>
      </c>
      <c r="L18" s="170" t="str">
        <f>'非偏鄉國中(葷)'!AN96</f>
        <v xml:space="preserve">蔬菜 大蒜    </v>
      </c>
      <c r="M18" s="169" t="str">
        <f>'非偏鄉國中(葷)'!AO96</f>
        <v>蘿蔔湯</v>
      </c>
      <c r="N18" s="170" t="str">
        <f>'非偏鄉國中(葷)'!AP96</f>
        <v xml:space="preserve">白蘿蔔 大骨 薑   </v>
      </c>
      <c r="O18" s="169" t="str">
        <f>'非偏鄉國中(葷)'!AQ96</f>
        <v>點心</v>
      </c>
      <c r="P18" s="169">
        <f>'非偏鄉國中(葷)'!AR96</f>
        <v>0</v>
      </c>
      <c r="Q18" s="305">
        <f>'非偏鄉國中(葷)'!AS96</f>
        <v>5</v>
      </c>
      <c r="R18" s="305">
        <f>'非偏鄉國中(葷)'!AT96</f>
        <v>3.221428571428572</v>
      </c>
      <c r="S18" s="305">
        <f>'非偏鄉國中(葷)'!AU96</f>
        <v>1.85</v>
      </c>
      <c r="T18" s="305">
        <f>'非偏鄉國中(葷)'!AV96</f>
        <v>2.535714285714286</v>
      </c>
      <c r="U18" s="305">
        <f>'非偏鄉國中(葷)'!AW96</f>
        <v>0</v>
      </c>
      <c r="V18" s="305">
        <f>'非偏鄉國中(葷)'!AX96</f>
        <v>0</v>
      </c>
      <c r="W18" s="305">
        <f>'非偏鄉國中(葷)'!AY96</f>
        <v>751.96428571428578</v>
      </c>
    </row>
    <row r="19" spans="1:23" ht="18.75" customHeight="1">
      <c r="A19" s="163">
        <f t="shared" si="0"/>
        <v>45188</v>
      </c>
      <c r="B19" s="171" t="str">
        <f>'非偏鄉國中(葷)'!AD103</f>
        <v>D2</v>
      </c>
      <c r="C19" s="165" t="str">
        <f>'非偏鄉國中(葷)'!AE103</f>
        <v>糙米飯</v>
      </c>
      <c r="D19" s="166" t="str">
        <f>'非偏鄉國中(葷)'!AF103</f>
        <v xml:space="preserve">米 糙米    </v>
      </c>
      <c r="E19" s="165" t="str">
        <f>'非偏鄉國中(葷)'!AG103</f>
        <v>台式蔥油雞</v>
      </c>
      <c r="F19" s="166" t="str">
        <f>'非偏鄉國中(葷)'!AH103</f>
        <v xml:space="preserve">肉雞 甘藍 青蔥 紅蔥頭  </v>
      </c>
      <c r="G19" s="165" t="str">
        <f>'非偏鄉國中(葷)'!AI103</f>
        <v>塔香海根</v>
      </c>
      <c r="H19" s="166" t="str">
        <f>'非偏鄉國中(葷)'!AJ103</f>
        <v xml:space="preserve">乾海帶 九層塔 大蒜   </v>
      </c>
      <c r="I19" s="165" t="str">
        <f>'非偏鄉國中(葷)'!AK103</f>
        <v>紅仁炒蛋</v>
      </c>
      <c r="J19" s="166" t="str">
        <f>'非偏鄉國中(葷)'!AL103</f>
        <v xml:space="preserve">雞蛋 胡蘿蔔 大蒜   </v>
      </c>
      <c r="K19" s="165" t="str">
        <f>'非偏鄉國中(葷)'!AM103</f>
        <v>時蔬</v>
      </c>
      <c r="L19" s="166" t="str">
        <f>'非偏鄉國中(葷)'!AN103</f>
        <v xml:space="preserve">蔬菜 大蒜    </v>
      </c>
      <c r="M19" s="165" t="str">
        <f>'非偏鄉國中(葷)'!AO103</f>
        <v>時蔬大骨湯</v>
      </c>
      <c r="N19" s="166" t="str">
        <f>'非偏鄉國中(葷)'!AP103</f>
        <v xml:space="preserve">時蔬 大骨 薑 枸杞  </v>
      </c>
      <c r="O19" s="165" t="str">
        <f>'非偏鄉國中(葷)'!AQ103</f>
        <v>點心</v>
      </c>
      <c r="P19" s="165">
        <f>'非偏鄉國中(葷)'!AR103</f>
        <v>0</v>
      </c>
      <c r="Q19" s="303">
        <f>'非偏鄉國中(葷)'!AS103</f>
        <v>5</v>
      </c>
      <c r="R19" s="303">
        <f>'非偏鄉國中(葷)'!AT103</f>
        <v>2.7190909090909092</v>
      </c>
      <c r="S19" s="303">
        <f>'非偏鄉國中(葷)'!AU103</f>
        <v>2.504</v>
      </c>
      <c r="T19" s="303">
        <f>'非偏鄉國中(葷)'!AV103</f>
        <v>2.6115454545454546</v>
      </c>
      <c r="U19" s="303">
        <f>'非偏鄉國中(葷)'!AW103</f>
        <v>0</v>
      </c>
      <c r="V19" s="303">
        <f>'非偏鄉國中(葷)'!AX103</f>
        <v>0</v>
      </c>
      <c r="W19" s="303">
        <f>'非偏鄉國中(葷)'!AY103</f>
        <v>734.0513636363637</v>
      </c>
    </row>
    <row r="20" spans="1:23" ht="18.75" customHeight="1">
      <c r="A20" s="163">
        <f t="shared" si="0"/>
        <v>45189</v>
      </c>
      <c r="B20" s="171" t="str">
        <f>'非偏鄉國中(葷)'!AD110</f>
        <v>D3</v>
      </c>
      <c r="C20" s="165" t="str">
        <f>'非偏鄉國中(葷)'!AE110</f>
        <v>DIY潛艇堡餐</v>
      </c>
      <c r="D20" s="166" t="str">
        <f>'非偏鄉國中(葷)'!AF110</f>
        <v xml:space="preserve">潛艇堡     </v>
      </c>
      <c r="E20" s="165" t="str">
        <f>'非偏鄉國中(葷)'!AG110</f>
        <v>洋蔥豬柳</v>
      </c>
      <c r="F20" s="166" t="str">
        <f>'非偏鄉國中(葷)'!AH110</f>
        <v xml:space="preserve">豬後腿肉 洋蔥 胡蘿蔔   </v>
      </c>
      <c r="G20" s="165" t="str">
        <f>'非偏鄉國中(葷)'!AI110</f>
        <v>西式配料</v>
      </c>
      <c r="H20" s="166" t="str">
        <f>'非偏鄉國中(葷)'!AJ110</f>
        <v xml:space="preserve">彎管麵 豬絞肉 冷凍玉米粒 馬鈴薯 大番茄 </v>
      </c>
      <c r="I20" s="165" t="str">
        <f>'非偏鄉國中(葷)'!AK110</f>
        <v>蟹味花椰</v>
      </c>
      <c r="J20" s="166" t="str">
        <f>'非偏鄉國中(葷)'!AL110</f>
        <v xml:space="preserve">冷凍花椰菜 胡蘿蔔 冷凍蟹味棒 金針菇 大蒜 </v>
      </c>
      <c r="K20" s="165" t="str">
        <f>'非偏鄉國中(葷)'!AM110</f>
        <v>時蔬</v>
      </c>
      <c r="L20" s="166" t="str">
        <f>'非偏鄉國中(葷)'!AN110</f>
        <v xml:space="preserve">蔬菜 大蒜    </v>
      </c>
      <c r="M20" s="165" t="str">
        <f>'非偏鄉國中(葷)'!AO110</f>
        <v>南瓜濃湯</v>
      </c>
      <c r="N20" s="166" t="str">
        <f>'非偏鄉國中(葷)'!AP110</f>
        <v xml:space="preserve">雞蛋 南瓜 玉米濃湯調理包 胡蘿蔔  </v>
      </c>
      <c r="O20" s="165" t="str">
        <f>'非偏鄉國中(葷)'!AQ110</f>
        <v>點心</v>
      </c>
      <c r="P20" s="165">
        <f>'非偏鄉國中(葷)'!AR110</f>
        <v>0</v>
      </c>
      <c r="Q20" s="303">
        <f>'非偏鄉國中(葷)'!AS110</f>
        <v>2</v>
      </c>
      <c r="R20" s="303">
        <f>'非偏鄉國中(葷)'!AT110</f>
        <v>2.5909090909090904</v>
      </c>
      <c r="S20" s="303">
        <f>'非偏鄉國中(葷)'!AU110</f>
        <v>2.15</v>
      </c>
      <c r="T20" s="303">
        <f>'非偏鄉國中(葷)'!AV110</f>
        <v>2.3704545454545451</v>
      </c>
      <c r="U20" s="303">
        <f>'非偏鄉國中(葷)'!AW110</f>
        <v>0</v>
      </c>
      <c r="V20" s="303">
        <f>'非偏鄉國中(葷)'!AX110</f>
        <v>0</v>
      </c>
      <c r="W20" s="303">
        <f>'非偏鄉國中(葷)'!AY110</f>
        <v>494.73863636363626</v>
      </c>
    </row>
    <row r="21" spans="1:23" ht="18.75" customHeight="1">
      <c r="A21" s="163">
        <f t="shared" si="0"/>
        <v>45190</v>
      </c>
      <c r="B21" s="171" t="str">
        <f>'非偏鄉國中(葷)'!AD117</f>
        <v>D4</v>
      </c>
      <c r="C21" s="165" t="str">
        <f>'非偏鄉國中(葷)'!AE117</f>
        <v>糙米飯</v>
      </c>
      <c r="D21" s="166" t="str">
        <f>'非偏鄉國中(葷)'!AF117</f>
        <v xml:space="preserve">米 糙米    </v>
      </c>
      <c r="E21" s="165" t="str">
        <f>'非偏鄉國中(葷)'!AG117</f>
        <v>三杯雞</v>
      </c>
      <c r="F21" s="166" t="str">
        <f>'非偏鄉國中(葷)'!AH117</f>
        <v xml:space="preserve">肉雞 洋蔥 胡蘿蔔 九層塔 大蒜 </v>
      </c>
      <c r="G21" s="165" t="str">
        <f>'非偏鄉國中(葷)'!AI117</f>
        <v>蛋香時蔬</v>
      </c>
      <c r="H21" s="166" t="str">
        <f>'非偏鄉國中(葷)'!AJ117</f>
        <v xml:space="preserve">雞蛋 時蔬 乾香菇 大蒜  </v>
      </c>
      <c r="I21" s="165" t="str">
        <f>'非偏鄉國中(葷)'!AK117</f>
        <v>螞蟻上樹</v>
      </c>
      <c r="J21" s="166" t="str">
        <f>'非偏鄉國中(葷)'!AL117</f>
        <v xml:space="preserve">豬絞肉 冬粉 時蔬 乾木耳 大蒜 </v>
      </c>
      <c r="K21" s="165" t="str">
        <f>'非偏鄉國中(葷)'!AM117</f>
        <v>時蔬</v>
      </c>
      <c r="L21" s="166" t="str">
        <f>'非偏鄉國中(葷)'!AN117</f>
        <v xml:space="preserve">蔬菜 大蒜    </v>
      </c>
      <c r="M21" s="165" t="str">
        <f>'非偏鄉國中(葷)'!AO117</f>
        <v>紅豆紫米湯</v>
      </c>
      <c r="N21" s="166" t="str">
        <f>'非偏鄉國中(葷)'!AP117</f>
        <v xml:space="preserve">紅豆 黑秈糯米 紅砂糖   </v>
      </c>
      <c r="O21" s="165" t="str">
        <f>'非偏鄉國中(葷)'!AQ117</f>
        <v>點心</v>
      </c>
      <c r="P21" s="165">
        <f>'非偏鄉國中(葷)'!AR117</f>
        <v>0</v>
      </c>
      <c r="Q21" s="303">
        <f>'非偏鄉國中(葷)'!AS117</f>
        <v>6.5666666666666673</v>
      </c>
      <c r="R21" s="303">
        <f>'非偏鄉國中(葷)'!AT117</f>
        <v>2.5905194805194802</v>
      </c>
      <c r="S21" s="303">
        <f>'非偏鄉國中(葷)'!AU117</f>
        <v>2.1199999999999997</v>
      </c>
      <c r="T21" s="303">
        <f>'非偏鄉國中(葷)'!AV117</f>
        <v>2.3552597402597399</v>
      </c>
      <c r="U21" s="303">
        <f>'非偏鄉國中(葷)'!AW117</f>
        <v>0</v>
      </c>
      <c r="V21" s="303">
        <f>'非偏鄉國中(葷)'!AX117</f>
        <v>0</v>
      </c>
      <c r="W21" s="303">
        <f>'非偏鄉國中(葷)'!AY117</f>
        <v>812.94231601731599</v>
      </c>
    </row>
    <row r="22" spans="1:23" ht="18.75" customHeight="1">
      <c r="A22" s="163">
        <f t="shared" si="0"/>
        <v>45191</v>
      </c>
      <c r="B22" s="171" t="str">
        <f>'非偏鄉國中(葷)'!AD124</f>
        <v>D5</v>
      </c>
      <c r="C22" s="165" t="str">
        <f>'非偏鄉國中(葷)'!AE124</f>
        <v>芝麻飯</v>
      </c>
      <c r="D22" s="166" t="str">
        <f>'非偏鄉國中(葷)'!AF124</f>
        <v xml:space="preserve">米 芝麻(熟)    </v>
      </c>
      <c r="E22" s="165" t="str">
        <f>'非偏鄉國中(葷)'!AG124</f>
        <v>洋芋燒肉</v>
      </c>
      <c r="F22" s="166" t="str">
        <f>'非偏鄉國中(葷)'!AH124</f>
        <v xml:space="preserve">豬後腿肉 馬鈴薯 胡蘿蔔 大蒜  </v>
      </c>
      <c r="G22" s="165" t="str">
        <f>'非偏鄉國中(葷)'!AI124</f>
        <v>鹹蛋玉菜</v>
      </c>
      <c r="H22" s="166" t="str">
        <f>'非偏鄉國中(葷)'!AJ124</f>
        <v xml:space="preserve">甘藍 鴨鹹蛋 胡蘿蔔 大蒜  </v>
      </c>
      <c r="I22" s="165" t="str">
        <f>'非偏鄉國中(葷)'!AK124</f>
        <v>蔬菜佃煮</v>
      </c>
      <c r="J22" s="166" t="str">
        <f>'非偏鄉國中(葷)'!AL124</f>
        <v>胡蘿蔔 白蘿蔔 甜玉米 四角油豆腐 柴魚片 味醂</v>
      </c>
      <c r="K22" s="165" t="str">
        <f>'非偏鄉國中(葷)'!AM124</f>
        <v>時蔬</v>
      </c>
      <c r="L22" s="166" t="str">
        <f>'非偏鄉國中(葷)'!AN124</f>
        <v xml:space="preserve">蔬菜 大蒜    </v>
      </c>
      <c r="M22" s="165" t="str">
        <f>'非偏鄉國中(葷)'!AO124</f>
        <v>味噌豆腐湯</v>
      </c>
      <c r="N22" s="166" t="str">
        <f>'非偏鄉國中(葷)'!AP124</f>
        <v xml:space="preserve">豆腐 味噌 柴魚片 洋蔥  </v>
      </c>
      <c r="O22" s="165" t="str">
        <f>'非偏鄉國中(葷)'!AQ124</f>
        <v>點心</v>
      </c>
      <c r="P22" s="165" t="str">
        <f>'非偏鄉國中(葷)'!AR124</f>
        <v>有機豆奶</v>
      </c>
      <c r="Q22" s="303">
        <f>'非偏鄉國中(葷)'!AS124</f>
        <v>5.6746031746031749</v>
      </c>
      <c r="R22" s="303">
        <f>'非偏鄉國中(葷)'!AT124</f>
        <v>2.4733766233766232</v>
      </c>
      <c r="S22" s="303">
        <f>'非偏鄉國中(葷)'!AU124</f>
        <v>1.95</v>
      </c>
      <c r="T22" s="303">
        <f>'非偏鄉國中(葷)'!AV124</f>
        <v>2.2116883116883117</v>
      </c>
      <c r="U22" s="303">
        <f>'非偏鄉國中(葷)'!AW124</f>
        <v>0</v>
      </c>
      <c r="V22" s="303">
        <f>'非偏鄉國中(葷)'!AX124</f>
        <v>0</v>
      </c>
      <c r="W22" s="303">
        <f>'非偏鄉國中(葷)'!AY124</f>
        <v>731.00144300144302</v>
      </c>
    </row>
    <row r="23" spans="1:23" ht="16.8" thickBot="1">
      <c r="A23" s="167">
        <f t="shared" si="0"/>
        <v>45192</v>
      </c>
      <c r="B23" s="172" t="str">
        <f>'非偏鄉國中(葷)'!AD131</f>
        <v>E5</v>
      </c>
      <c r="C23" s="173" t="str">
        <f>'非偏鄉國中(葷)'!AE131</f>
        <v>燕麥飯</v>
      </c>
      <c r="D23" s="174" t="str">
        <f>'非偏鄉國中(葷)'!AF131</f>
        <v xml:space="preserve">米 燕麥    </v>
      </c>
      <c r="E23" s="173" t="str">
        <f>'非偏鄉國中(葷)'!AG131</f>
        <v>彩椒肉片</v>
      </c>
      <c r="F23" s="174" t="str">
        <f>'非偏鄉國中(葷)'!AH131</f>
        <v>豬後腿肉 洋蔥 胡蘿蔔 甜椒(黃皮) 大蒜 味噌</v>
      </c>
      <c r="G23" s="173" t="str">
        <f>'非偏鄉國中(葷)'!AI131</f>
        <v>鮮菇豆腐</v>
      </c>
      <c r="H23" s="174" t="str">
        <f>'非偏鄉國中(葷)'!AJ131</f>
        <v xml:space="preserve">鴻喜菇 豆腐 胡蘿蔔 大蒜  </v>
      </c>
      <c r="I23" s="173" t="str">
        <f>'非偏鄉國中(葷)'!AK131</f>
        <v>魚干時瓜</v>
      </c>
      <c r="J23" s="174" t="str">
        <f>'非偏鄉國中(葷)'!AL131</f>
        <v xml:space="preserve">小魚干 時瓜 胡蘿蔔 大蒜  </v>
      </c>
      <c r="K23" s="173" t="str">
        <f>'非偏鄉國中(葷)'!AM131</f>
        <v>時蔬</v>
      </c>
      <c r="L23" s="174" t="str">
        <f>'非偏鄉國中(葷)'!AN131</f>
        <v xml:space="preserve">蔬菜 大蒜    </v>
      </c>
      <c r="M23" s="173" t="str">
        <f>'非偏鄉國中(葷)'!AO131</f>
        <v>金針冬菜粉絲湯</v>
      </c>
      <c r="N23" s="174" t="str">
        <f>'非偏鄉國中(葷)'!AP131</f>
        <v xml:space="preserve">金針菜乾 冬粉 豬後腿肉 醃製冬菜 薑 </v>
      </c>
      <c r="O23" s="173" t="str">
        <f>'非偏鄉國中(葷)'!AQ131</f>
        <v>點心</v>
      </c>
      <c r="P23" s="173">
        <f>'非偏鄉國中(葷)'!AR131</f>
        <v>0</v>
      </c>
      <c r="Q23" s="306">
        <f>'非偏鄉國中(葷)'!AS131</f>
        <v>5.4</v>
      </c>
      <c r="R23" s="306">
        <f>'非偏鄉國中(葷)'!AT131</f>
        <v>3.0714285714285712</v>
      </c>
      <c r="S23" s="306">
        <f>'非偏鄉國中(葷)'!AU131</f>
        <v>1.8050000000000002</v>
      </c>
      <c r="T23" s="306">
        <f>'非偏鄉國中(葷)'!AV131</f>
        <v>2.4382142857142854</v>
      </c>
      <c r="U23" s="306">
        <f>'非偏鄉國中(葷)'!AW131</f>
        <v>0</v>
      </c>
      <c r="V23" s="306">
        <f>'非偏鄉國中(葷)'!AX131</f>
        <v>0</v>
      </c>
      <c r="W23" s="306">
        <f>'非偏鄉國中(葷)'!AY131</f>
        <v>763.20178571428573</v>
      </c>
    </row>
    <row r="24" spans="1:23" ht="16.2">
      <c r="A24" s="175">
        <f>A23+2</f>
        <v>45194</v>
      </c>
      <c r="B24" s="168" t="str">
        <f>'非偏鄉國中(葷)'!AD138</f>
        <v>E1</v>
      </c>
      <c r="C24" s="169" t="str">
        <f>'非偏鄉國中(葷)'!AE138</f>
        <v>白米飯</v>
      </c>
      <c r="D24" s="170" t="str">
        <f>'非偏鄉國中(葷)'!AF138</f>
        <v xml:space="preserve">米     </v>
      </c>
      <c r="E24" s="169" t="str">
        <f>'非偏鄉國中(葷)'!AG138</f>
        <v>茄汁肉絲</v>
      </c>
      <c r="F24" s="170" t="str">
        <f>'非偏鄉國中(葷)'!AH138</f>
        <v xml:space="preserve">豬後腿肉 洋蔥 胡蘿蔔 大番茄 大蒜 </v>
      </c>
      <c r="G24" s="169" t="str">
        <f>'非偏鄉國中(葷)'!AI138</f>
        <v>海結凍腐</v>
      </c>
      <c r="H24" s="170" t="str">
        <f>'非偏鄉國中(葷)'!AJ138</f>
        <v xml:space="preserve">乾海帶 凍豆腐 大蒜   </v>
      </c>
      <c r="I24" s="169" t="str">
        <f>'非偏鄉國中(葷)'!AK138</f>
        <v>火腿豆芽</v>
      </c>
      <c r="J24" s="170" t="str">
        <f>'非偏鄉國中(葷)'!AL138</f>
        <v xml:space="preserve">綠豆芽 切片火腿(豬肉) 韮菜 胡蘿蔔 大蒜 </v>
      </c>
      <c r="K24" s="169" t="str">
        <f>'非偏鄉國中(葷)'!AM138</f>
        <v>時蔬</v>
      </c>
      <c r="L24" s="170" t="str">
        <f>'非偏鄉國中(葷)'!AN138</f>
        <v xml:space="preserve">蔬菜 大蒜    </v>
      </c>
      <c r="M24" s="169" t="str">
        <f>'非偏鄉國中(葷)'!AO138</f>
        <v>蘿蔔大骨湯</v>
      </c>
      <c r="N24" s="170" t="str">
        <f>'非偏鄉國中(葷)'!AP138</f>
        <v xml:space="preserve">白蘿蔔 大骨 胡蘿蔔 薑  </v>
      </c>
      <c r="O24" s="169" t="str">
        <f>'非偏鄉國中(葷)'!AQ138</f>
        <v>點心</v>
      </c>
      <c r="P24" s="169">
        <f>'非偏鄉國中(葷)'!AR138</f>
        <v>0</v>
      </c>
      <c r="Q24" s="305">
        <f>'非偏鄉國中(葷)'!AS138</f>
        <v>5</v>
      </c>
      <c r="R24" s="305">
        <f>'非偏鄉國中(葷)'!AT138</f>
        <v>1.877020202020202</v>
      </c>
      <c r="S24" s="305">
        <f>'非偏鄉國中(葷)'!AU138</f>
        <v>2.5</v>
      </c>
      <c r="T24" s="305">
        <f>'非偏鄉國中(葷)'!AV138</f>
        <v>2.1885101010101011</v>
      </c>
      <c r="U24" s="305">
        <f>'非偏鄉國中(葷)'!AW138</f>
        <v>0</v>
      </c>
      <c r="V24" s="305">
        <f>'非偏鄉國中(葷)'!AX138</f>
        <v>0</v>
      </c>
      <c r="W24" s="305">
        <f>'非偏鄉國中(葷)'!AY138</f>
        <v>651.75946969696975</v>
      </c>
    </row>
    <row r="25" spans="1:23" ht="16.2">
      <c r="A25" s="163">
        <f>A24+1</f>
        <v>45195</v>
      </c>
      <c r="B25" s="171" t="str">
        <f>'非偏鄉國中(葷)'!AD145</f>
        <v>E2</v>
      </c>
      <c r="C25" s="165" t="str">
        <f>'非偏鄉國中(葷)'!AE145</f>
        <v>糙米飯</v>
      </c>
      <c r="D25" s="166" t="str">
        <f>'非偏鄉國中(葷)'!AF145</f>
        <v xml:space="preserve">米 糙米    </v>
      </c>
      <c r="E25" s="165" t="str">
        <f>'非偏鄉國中(葷)'!AG145</f>
        <v>蒜香魚丁</v>
      </c>
      <c r="F25" s="166" t="str">
        <f>'非偏鄉國中(葷)'!AH145</f>
        <v xml:space="preserve">鮮魚丁 甜椒(紅皮) 洋蔥 大蒜 奶油(固態) </v>
      </c>
      <c r="G25" s="165" t="str">
        <f>'非偏鄉國中(葷)'!AI145</f>
        <v>刈薯炒蛋</v>
      </c>
      <c r="H25" s="166" t="str">
        <f>'非偏鄉國中(葷)'!AJ145</f>
        <v xml:space="preserve">刈薯 雞蛋 胡蘿蔔   </v>
      </c>
      <c r="I25" s="165" t="str">
        <f>'非偏鄉國中(葷)'!AK145</f>
        <v>麵筋玉菜</v>
      </c>
      <c r="J25" s="166" t="str">
        <f>'非偏鄉國中(葷)'!AL145</f>
        <v xml:space="preserve">甘藍 麵筋泡 大蒜   </v>
      </c>
      <c r="K25" s="165" t="str">
        <f>'非偏鄉國中(葷)'!AM145</f>
        <v>時蔬</v>
      </c>
      <c r="L25" s="166" t="str">
        <f>'非偏鄉國中(葷)'!AN145</f>
        <v xml:space="preserve">蔬菜 大蒜    </v>
      </c>
      <c r="M25" s="165" t="str">
        <f>'非偏鄉國中(葷)'!AO145</f>
        <v>紫菜魚丸湯</v>
      </c>
      <c r="N25" s="166" t="str">
        <f>'非偏鄉國中(葷)'!AP145</f>
        <v xml:space="preserve">紫菜 魚丸 薑   </v>
      </c>
      <c r="O25" s="165" t="str">
        <f>'非偏鄉國中(葷)'!AQ145</f>
        <v>點心</v>
      </c>
      <c r="P25" s="165">
        <f>'非偏鄉國中(葷)'!AR145</f>
        <v>0</v>
      </c>
      <c r="Q25" s="303">
        <f>'非偏鄉國中(葷)'!AS145</f>
        <v>5</v>
      </c>
      <c r="R25" s="303">
        <f>'非偏鄉國中(葷)'!AT145</f>
        <v>2.9909090909090907</v>
      </c>
      <c r="S25" s="303">
        <f>'非偏鄉國中(葷)'!AU145</f>
        <v>2.2999999999999998</v>
      </c>
      <c r="T25" s="303">
        <f>'非偏鄉國中(葷)'!AV145</f>
        <v>2.6454545454545455</v>
      </c>
      <c r="U25" s="303">
        <f>'非偏鄉國中(葷)'!AW145</f>
        <v>0</v>
      </c>
      <c r="V25" s="303">
        <f>'非偏鄉國中(葷)'!AX145</f>
        <v>0</v>
      </c>
      <c r="W25" s="303">
        <f>'非偏鄉國中(葷)'!AY145</f>
        <v>750.86363636363626</v>
      </c>
    </row>
    <row r="26" spans="1:23" ht="16.2">
      <c r="A26" s="163">
        <f t="shared" si="0"/>
        <v>45196</v>
      </c>
      <c r="B26" s="171" t="str">
        <f>'非偏鄉國中(葷)'!AD152</f>
        <v>E3</v>
      </c>
      <c r="C26" s="165" t="str">
        <f>'非偏鄉國中(葷)'!AE152</f>
        <v>刈包特餐</v>
      </c>
      <c r="D26" s="166" t="str">
        <f>'非偏鄉國中(葷)'!AF152</f>
        <v xml:space="preserve">刈包     </v>
      </c>
      <c r="E26" s="165" t="str">
        <f>'非偏鄉國中(葷)'!AG152</f>
        <v>香滷肉排</v>
      </c>
      <c r="F26" s="166" t="str">
        <f>'非偏鄉國中(葷)'!AH152</f>
        <v xml:space="preserve">肉排 大蒜    </v>
      </c>
      <c r="G26" s="165" t="str">
        <f>'非偏鄉國中(葷)'!AI152</f>
        <v>刈包配料</v>
      </c>
      <c r="H26" s="166" t="str">
        <f>'非偏鄉國中(葷)'!AJ152</f>
        <v xml:space="preserve">豬後腿肉 洋蔥 胡蘿蔔   </v>
      </c>
      <c r="I26" s="165" t="str">
        <f>'非偏鄉國中(葷)'!AK152</f>
        <v>塔香鮑菇</v>
      </c>
      <c r="J26" s="166" t="str">
        <f>'非偏鄉國中(葷)'!AL152</f>
        <v xml:space="preserve">杏鮑菇 薑 九層塔   </v>
      </c>
      <c r="K26" s="165" t="str">
        <f>'非偏鄉國中(葷)'!AM152</f>
        <v>時蔬</v>
      </c>
      <c r="L26" s="166" t="str">
        <f>'非偏鄉國中(葷)'!AN152</f>
        <v xml:space="preserve">蔬菜 大蒜    </v>
      </c>
      <c r="M26" s="165" t="str">
        <f>'非偏鄉國中(葷)'!AO152</f>
        <v>麵線糊</v>
      </c>
      <c r="N26" s="166" t="str">
        <f>'非偏鄉國中(葷)'!AP152</f>
        <v>麵線 豬後腿肉 脆筍絲 胡蘿蔔 乾木耳 柴魚片</v>
      </c>
      <c r="O26" s="165" t="str">
        <f>'非偏鄉國中(葷)'!AQ152</f>
        <v>點心</v>
      </c>
      <c r="P26" s="165">
        <f>'非偏鄉國中(葷)'!AR152</f>
        <v>0</v>
      </c>
      <c r="Q26" s="303">
        <f>'非偏鄉國中(葷)'!AS152</f>
        <v>5</v>
      </c>
      <c r="R26" s="303">
        <f>'非偏鄉國中(葷)'!AT152</f>
        <v>2.4857142857142858</v>
      </c>
      <c r="S26" s="303">
        <f>'非偏鄉國中(葷)'!AU152</f>
        <v>2.0699999999999998</v>
      </c>
      <c r="T26" s="303">
        <f>'非偏鄉國中(葷)'!AV152</f>
        <v>2.277857142857143</v>
      </c>
      <c r="U26" s="303">
        <f>'非偏鄉國中(葷)'!AW152</f>
        <v>0</v>
      </c>
      <c r="V26" s="303">
        <f>'非偏鄉國中(葷)'!AX152</f>
        <v>0</v>
      </c>
      <c r="W26" s="303">
        <f>'非偏鄉國中(葷)'!AY152</f>
        <v>690.68214285714294</v>
      </c>
    </row>
    <row r="27" spans="1:23" ht="16.8" thickBot="1">
      <c r="A27" s="167">
        <f t="shared" si="0"/>
        <v>45197</v>
      </c>
      <c r="B27" s="172" t="str">
        <f>'非偏鄉國中(葷)'!A159</f>
        <v>E4</v>
      </c>
      <c r="C27" s="173" t="str">
        <f>'非偏鄉國中(葷)'!AE159</f>
        <v>糙米飯</v>
      </c>
      <c r="D27" s="174" t="str">
        <f>'非偏鄉國中(葷)'!AF159</f>
        <v xml:space="preserve">米 糙米    </v>
      </c>
      <c r="E27" s="173" t="str">
        <f>'非偏鄉國中(葷)'!AG159</f>
        <v>照燒雞</v>
      </c>
      <c r="F27" s="174" t="str">
        <f>'非偏鄉國中(葷)'!AH159</f>
        <v xml:space="preserve">肉雞 洋蔥 胡蘿蔔 醬油 紅砂糖 </v>
      </c>
      <c r="G27" s="173" t="str">
        <f>'非偏鄉國中(葷)'!AI159</f>
        <v>絲瓜蛋豆腐</v>
      </c>
      <c r="H27" s="174" t="str">
        <f>'非偏鄉國中(葷)'!AJ159</f>
        <v xml:space="preserve">豆腐 絲瓜 雞蛋 大蒜  </v>
      </c>
      <c r="I27" s="173" t="str">
        <f>'非偏鄉國中(葷)'!AK159</f>
        <v>奶油白菜</v>
      </c>
      <c r="J27" s="174" t="str">
        <f>'非偏鄉國中(葷)'!AL159</f>
        <v>結球白菜 鴻喜菇 甜椒(紅皮) 甜椒(黃皮) 大蒜 奶油(固態)</v>
      </c>
      <c r="K27" s="173" t="str">
        <f>'非偏鄉國中(葷)'!AM159</f>
        <v>時蔬</v>
      </c>
      <c r="L27" s="174" t="str">
        <f>'非偏鄉國中(葷)'!AN159</f>
        <v xml:space="preserve">蔬菜 大蒜    </v>
      </c>
      <c r="M27" s="173" t="str">
        <f>'非偏鄉國中(葷)'!AO159</f>
        <v>椰漿西米露</v>
      </c>
      <c r="N27" s="174" t="str">
        <f>'非偏鄉國中(葷)'!AP159</f>
        <v xml:space="preserve">西谷米 紅砂糖 椰漿   </v>
      </c>
      <c r="O27" s="173" t="str">
        <f>'非偏鄉國中(葷)'!AQ159</f>
        <v>點心</v>
      </c>
      <c r="P27" s="173" t="str">
        <f>'非偏鄉國中(葷)'!AR159</f>
        <v>有機豆奶</v>
      </c>
      <c r="Q27" s="306">
        <f>'非偏鄉國中(葷)'!AS159</f>
        <v>6.333333333333333</v>
      </c>
      <c r="R27" s="306">
        <f>'非偏鄉國中(葷)'!AT159</f>
        <v>2.731590909090909</v>
      </c>
      <c r="S27" s="306">
        <f>'非偏鄉國中(葷)'!AU159</f>
        <v>2.2999999999999998</v>
      </c>
      <c r="T27" s="306">
        <f>'非偏鄉國中(葷)'!AV159</f>
        <v>2.5157954545454544</v>
      </c>
      <c r="U27" s="306">
        <f>'非偏鄉國中(葷)'!AW159</f>
        <v>0</v>
      </c>
      <c r="V27" s="306">
        <f>'非偏鄉國中(葷)'!AX159</f>
        <v>0</v>
      </c>
      <c r="W27" s="306">
        <f>'非偏鄉國中(葷)'!AY159</f>
        <v>818.91344696969691</v>
      </c>
    </row>
    <row r="28" spans="1:23" ht="19.8">
      <c r="A28" s="177" t="s">
        <v>570</v>
      </c>
      <c r="B28" s="176"/>
    </row>
    <row r="29" spans="1:23" ht="16.2">
      <c r="B29" s="177"/>
    </row>
    <row r="30" spans="1:23" ht="16.2">
      <c r="A30" s="178" t="s">
        <v>538</v>
      </c>
    </row>
    <row r="31" spans="1:23" ht="16.5" customHeight="1">
      <c r="A31" s="203" t="s">
        <v>543</v>
      </c>
      <c r="B31" s="154" t="s">
        <v>561</v>
      </c>
    </row>
    <row r="32" spans="1:23" ht="16.5" customHeight="1">
      <c r="A32" s="203" t="s">
        <v>544</v>
      </c>
      <c r="B32" s="154" t="s">
        <v>539</v>
      </c>
    </row>
    <row r="33" spans="1:2" ht="16.5" customHeight="1">
      <c r="A33" s="204" t="s">
        <v>545</v>
      </c>
      <c r="B33" s="154" t="s">
        <v>540</v>
      </c>
    </row>
    <row r="34" spans="1:2" ht="16.5" customHeight="1">
      <c r="A34" s="155" t="s">
        <v>546</v>
      </c>
      <c r="B34" s="154" t="s">
        <v>541</v>
      </c>
    </row>
    <row r="35" spans="1:2" ht="16.5" customHeight="1">
      <c r="A35" s="155" t="s">
        <v>560</v>
      </c>
      <c r="B35" s="154" t="s">
        <v>562</v>
      </c>
    </row>
    <row r="36" spans="1:2" ht="15" customHeight="1">
      <c r="A36" s="153" t="s">
        <v>568</v>
      </c>
      <c r="B36" s="154" t="s">
        <v>569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6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zoomScaleNormal="100" workbookViewId="0">
      <pane ySplit="4" topLeftCell="A146" activePane="bottomLeft" state="frozen"/>
      <selection pane="bottomLeft" activeCell="T147" sqref="T147"/>
    </sheetView>
  </sheetViews>
  <sheetFormatPr defaultColWidth="11.19921875" defaultRowHeight="15" customHeight="1"/>
  <cols>
    <col min="1" max="8" width="2.69921875" style="100" customWidth="1"/>
    <col min="9" max="9" width="5.19921875" style="100" customWidth="1"/>
    <col min="10" max="10" width="8.19921875" style="100" customWidth="1"/>
    <col min="11" max="11" width="2.69921875" style="100" customWidth="1"/>
    <col min="12" max="12" width="2.69921875" customWidth="1"/>
    <col min="13" max="13" width="9.69921875" style="100" customWidth="1"/>
    <col min="14" max="14" width="2.69921875" style="100" customWidth="1"/>
    <col min="15" max="15" width="2.69921875" customWidth="1"/>
    <col min="16" max="16" width="9.5" style="100" customWidth="1"/>
    <col min="17" max="17" width="2.69921875" style="100" customWidth="1"/>
    <col min="18" max="18" width="2.69921875" customWidth="1"/>
    <col min="19" max="19" width="8.19921875" style="100" customWidth="1"/>
    <col min="20" max="20" width="2.69921875" style="100" customWidth="1"/>
    <col min="21" max="21" width="2.69921875" customWidth="1"/>
    <col min="22" max="22" width="8.19921875" style="100" customWidth="1"/>
    <col min="23" max="23" width="2.69921875" style="100" customWidth="1"/>
    <col min="24" max="24" width="2.69921875" customWidth="1"/>
    <col min="25" max="25" width="11.8984375" style="100" customWidth="1"/>
    <col min="26" max="26" width="2.69921875" style="100" customWidth="1"/>
    <col min="27" max="27" width="2.69921875" customWidth="1"/>
    <col min="28" max="28" width="8.19921875" style="100" customWidth="1"/>
    <col min="29" max="29" width="10.5" style="100" customWidth="1"/>
    <col min="30" max="31" width="5.19921875" style="100" hidden="1" customWidth="1"/>
    <col min="32" max="32" width="6.69921875" hidden="1" customWidth="1"/>
    <col min="33" max="44" width="5.19921875" style="100" hidden="1" customWidth="1"/>
    <col min="45" max="51" width="5.3984375" style="100" hidden="1" customWidth="1"/>
    <col min="52" max="16384" width="11.19921875" style="100"/>
  </cols>
  <sheetData>
    <row r="1" spans="1:51" s="154" customFormat="1" ht="16.8" thickBot="1">
      <c r="A1" s="252" t="s">
        <v>565</v>
      </c>
      <c r="B1" s="253"/>
      <c r="C1" s="253"/>
      <c r="D1" s="253"/>
      <c r="E1" s="253"/>
      <c r="F1" s="253"/>
      <c r="G1" s="253"/>
      <c r="H1" s="253"/>
      <c r="I1" s="253"/>
      <c r="J1" s="257" t="s">
        <v>563</v>
      </c>
      <c r="K1" s="257"/>
      <c r="L1" s="257"/>
      <c r="M1" s="257" t="s">
        <v>549</v>
      </c>
      <c r="N1" s="257"/>
      <c r="O1" s="257"/>
      <c r="P1" s="258" t="s">
        <v>556</v>
      </c>
      <c r="Q1" s="258"/>
      <c r="R1" s="258"/>
      <c r="S1" s="224"/>
      <c r="T1" s="225"/>
      <c r="U1" s="224"/>
      <c r="V1" s="251" t="s">
        <v>564</v>
      </c>
      <c r="W1" s="251"/>
      <c r="X1" s="251"/>
      <c r="Y1" s="251" t="s">
        <v>566</v>
      </c>
      <c r="Z1" s="251"/>
      <c r="AA1" s="251"/>
      <c r="AB1" s="254" t="s">
        <v>0</v>
      </c>
      <c r="AC1" s="254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51" ht="18" thickBot="1">
      <c r="A2" s="281" t="s">
        <v>450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3"/>
      <c r="AD2" s="101"/>
      <c r="AE2" s="101"/>
      <c r="AF2" s="47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</row>
    <row r="3" spans="1:51" ht="18" thickBot="1">
      <c r="A3" s="284" t="s">
        <v>34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3"/>
      <c r="AD3" s="102"/>
      <c r="AE3" s="101"/>
      <c r="AF3" s="47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</row>
    <row r="4" spans="1:51" ht="16.8" thickBot="1">
      <c r="A4" s="118" t="s">
        <v>35</v>
      </c>
      <c r="B4" s="119"/>
      <c r="C4" s="120" t="s">
        <v>36</v>
      </c>
      <c r="D4" s="120" t="s">
        <v>37</v>
      </c>
      <c r="E4" s="120" t="s">
        <v>38</v>
      </c>
      <c r="F4" s="120" t="s">
        <v>39</v>
      </c>
      <c r="G4" s="120" t="s">
        <v>40</v>
      </c>
      <c r="H4" s="120" t="s">
        <v>41</v>
      </c>
      <c r="I4" s="120" t="s">
        <v>42</v>
      </c>
      <c r="J4" s="119" t="s">
        <v>43</v>
      </c>
      <c r="K4" s="119" t="s">
        <v>44</v>
      </c>
      <c r="L4" s="144" t="s">
        <v>517</v>
      </c>
      <c r="M4" s="119" t="s">
        <v>45</v>
      </c>
      <c r="N4" s="119" t="s">
        <v>44</v>
      </c>
      <c r="O4" s="144" t="s">
        <v>517</v>
      </c>
      <c r="P4" s="119" t="s">
        <v>46</v>
      </c>
      <c r="Q4" s="119" t="s">
        <v>44</v>
      </c>
      <c r="R4" s="144" t="s">
        <v>517</v>
      </c>
      <c r="S4" s="119" t="s">
        <v>47</v>
      </c>
      <c r="T4" s="119" t="s">
        <v>44</v>
      </c>
      <c r="U4" s="144" t="s">
        <v>517</v>
      </c>
      <c r="V4" s="119" t="s">
        <v>48</v>
      </c>
      <c r="W4" s="119" t="s">
        <v>44</v>
      </c>
      <c r="X4" s="144" t="s">
        <v>517</v>
      </c>
      <c r="Y4" s="119" t="s">
        <v>49</v>
      </c>
      <c r="Z4" s="119" t="s">
        <v>44</v>
      </c>
      <c r="AA4" s="144" t="s">
        <v>517</v>
      </c>
      <c r="AB4" s="119" t="s">
        <v>50</v>
      </c>
      <c r="AC4" s="121" t="s">
        <v>51</v>
      </c>
      <c r="AD4" s="85"/>
      <c r="AE4" s="85"/>
      <c r="AF4" s="146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50" t="s">
        <v>530</v>
      </c>
      <c r="AT4" s="50" t="s">
        <v>531</v>
      </c>
      <c r="AU4" s="50" t="s">
        <v>532</v>
      </c>
      <c r="AV4" s="50" t="s">
        <v>533</v>
      </c>
      <c r="AW4" s="50" t="s">
        <v>534</v>
      </c>
      <c r="AX4" s="50" t="s">
        <v>535</v>
      </c>
      <c r="AY4" s="50" t="s">
        <v>536</v>
      </c>
    </row>
    <row r="5" spans="1:51" s="229" customFormat="1" ht="15" customHeight="1">
      <c r="A5" s="124" t="s">
        <v>1</v>
      </c>
      <c r="B5" s="125" t="s">
        <v>276</v>
      </c>
      <c r="C5" s="126">
        <v>5.2</v>
      </c>
      <c r="D5" s="126">
        <f>(E5+H5)/2</f>
        <v>2.375</v>
      </c>
      <c r="E5" s="126">
        <v>2.2999999999999998</v>
      </c>
      <c r="F5" s="126">
        <v>0</v>
      </c>
      <c r="G5" s="126">
        <v>0.1</v>
      </c>
      <c r="H5" s="126">
        <f>N6/5+N9/1.2+T9/3+Z6/5+Q10/2.5</f>
        <v>2.4500000000000002</v>
      </c>
      <c r="I5" s="126">
        <f>C5*70+D5*45+E5*25+H5*75+G5*60+F5*150</f>
        <v>718.125</v>
      </c>
      <c r="J5" s="285" t="s">
        <v>52</v>
      </c>
      <c r="K5" s="286"/>
      <c r="L5" s="66"/>
      <c r="M5" s="285" t="s">
        <v>451</v>
      </c>
      <c r="N5" s="286"/>
      <c r="O5" s="66"/>
      <c r="P5" s="285" t="s">
        <v>53</v>
      </c>
      <c r="Q5" s="286"/>
      <c r="R5" s="66"/>
      <c r="S5" s="285" t="s">
        <v>54</v>
      </c>
      <c r="T5" s="286"/>
      <c r="U5" s="66"/>
      <c r="V5" s="285" t="s">
        <v>55</v>
      </c>
      <c r="W5" s="286"/>
      <c r="X5" s="66"/>
      <c r="Y5" s="287" t="s">
        <v>505</v>
      </c>
      <c r="Z5" s="286"/>
      <c r="AA5" s="66"/>
      <c r="AB5" s="226" t="s">
        <v>283</v>
      </c>
      <c r="AC5" s="227"/>
      <c r="AD5" s="51" t="str">
        <f>A5</f>
        <v>A3</v>
      </c>
      <c r="AE5" s="51" t="str">
        <f>J5</f>
        <v>拌飯特餐</v>
      </c>
      <c r="AF5" s="51" t="str">
        <f>J6&amp;" "&amp;J7&amp;" "&amp;J8&amp;" "&amp;J9&amp;" "&amp;J10&amp;" "&amp;J11</f>
        <v xml:space="preserve">米     </v>
      </c>
      <c r="AG5" s="51" t="str">
        <f>M5</f>
        <v>鳳梨毛豆</v>
      </c>
      <c r="AH5" s="51" t="str">
        <f>M6&amp;" "&amp;M7&amp;" "&amp;M8&amp;" "&amp;M9&amp;" "&amp;M10&amp;" "&amp;M11</f>
        <v xml:space="preserve">冷凍毛豆仁 鳳梨罐頭 芹菜 素肉  </v>
      </c>
      <c r="AI5" s="51" t="str">
        <f>P5</f>
        <v>拌飯配料</v>
      </c>
      <c r="AJ5" s="51" t="str">
        <f>P6&amp;" "&amp;P7&amp;" "&amp;P8&amp;" "&amp;P9&amp;" "&amp;P10&amp;" "&amp;P11</f>
        <v xml:space="preserve">胡蘿蔔 甘藍 冷凍玉米粒 薑 素香鬆 </v>
      </c>
      <c r="AK5" s="51" t="str">
        <f>S5</f>
        <v>咖哩花椰</v>
      </c>
      <c r="AL5" s="51" t="str">
        <f>S6&amp;" "&amp;S7&amp;" "&amp;S8&amp;" "&amp;S9&amp;" "&amp;S10&amp;" "&amp;S11</f>
        <v xml:space="preserve">冷凍花椰菜 薑 咖哩粉 豆包  </v>
      </c>
      <c r="AM5" s="51" t="str">
        <f>V5</f>
        <v>時蔬</v>
      </c>
      <c r="AN5" s="51" t="str">
        <f>V6&amp;" "&amp;V7&amp;" "&amp;V8&amp;" "&amp;V9&amp;" "&amp;V10&amp;" "&amp;V11</f>
        <v xml:space="preserve">蔬菜 薑    </v>
      </c>
      <c r="AO5" s="51" t="str">
        <f>Y5</f>
        <v>蘿蔔素丸湯</v>
      </c>
      <c r="AP5" s="51" t="str">
        <f>Y6&amp;" "&amp;Y7&amp;" "&amp;Y8&amp;" "&amp;Y9&amp;" "&amp;Y10&amp;" "&amp;Y11</f>
        <v xml:space="preserve">素丸 白蘿蔔 薑   </v>
      </c>
      <c r="AQ5" s="51" t="str">
        <f>AB5</f>
        <v>點心</v>
      </c>
      <c r="AR5" s="51">
        <f>AC5</f>
        <v>0</v>
      </c>
      <c r="AS5" s="228">
        <f>C5</f>
        <v>5.2</v>
      </c>
      <c r="AT5" s="228">
        <f>H5</f>
        <v>2.4500000000000002</v>
      </c>
      <c r="AU5" s="228">
        <f>E5</f>
        <v>2.2999999999999998</v>
      </c>
      <c r="AV5" s="228">
        <f>D5</f>
        <v>2.375</v>
      </c>
      <c r="AW5" s="228">
        <f>F5</f>
        <v>0</v>
      </c>
      <c r="AX5" s="228">
        <f>G5</f>
        <v>0.1</v>
      </c>
      <c r="AY5" s="228">
        <f>I5</f>
        <v>718.125</v>
      </c>
    </row>
    <row r="6" spans="1:51" s="229" customFormat="1" ht="15" customHeight="1">
      <c r="A6" s="105"/>
      <c r="B6" s="104"/>
      <c r="C6" s="93"/>
      <c r="D6" s="93"/>
      <c r="E6" s="93"/>
      <c r="F6" s="93"/>
      <c r="G6" s="93"/>
      <c r="H6" s="93"/>
      <c r="I6" s="93"/>
      <c r="J6" s="92" t="s">
        <v>57</v>
      </c>
      <c r="K6" s="92">
        <v>10</v>
      </c>
      <c r="L6" s="145" t="str">
        <f>IF(K6,"公斤","")</f>
        <v>公斤</v>
      </c>
      <c r="M6" s="92" t="s">
        <v>108</v>
      </c>
      <c r="N6" s="92">
        <v>5</v>
      </c>
      <c r="O6" s="145" t="str">
        <f>IF(N6,"公斤","")</f>
        <v>公斤</v>
      </c>
      <c r="P6" s="92" t="s">
        <v>58</v>
      </c>
      <c r="Q6" s="92">
        <v>0.5</v>
      </c>
      <c r="R6" s="145" t="str">
        <f>IF(Q6,"公斤","")</f>
        <v>公斤</v>
      </c>
      <c r="S6" s="92" t="s">
        <v>59</v>
      </c>
      <c r="T6" s="92">
        <v>7</v>
      </c>
      <c r="U6" s="145" t="str">
        <f>IF(T6,"公斤","")</f>
        <v>公斤</v>
      </c>
      <c r="V6" s="92" t="s">
        <v>48</v>
      </c>
      <c r="W6" s="92">
        <v>7</v>
      </c>
      <c r="X6" s="145" t="str">
        <f>IF(W6,"公斤","")</f>
        <v>公斤</v>
      </c>
      <c r="Y6" s="92" t="s">
        <v>60</v>
      </c>
      <c r="Z6" s="92">
        <v>1</v>
      </c>
      <c r="AA6" s="145" t="str">
        <f>IF(Z6,"公斤","")</f>
        <v>公斤</v>
      </c>
      <c r="AB6" s="94" t="s">
        <v>283</v>
      </c>
      <c r="AC6" s="230"/>
      <c r="AD6" s="231"/>
      <c r="AE6" s="231"/>
      <c r="AF6" s="5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</row>
    <row r="7" spans="1:51" s="229" customFormat="1" ht="15" customHeight="1">
      <c r="A7" s="105"/>
      <c r="B7" s="216" t="s">
        <v>557</v>
      </c>
      <c r="C7" s="216">
        <v>5.2</v>
      </c>
      <c r="D7" s="216">
        <f>(E7+H7)/2</f>
        <v>1.8083333333333331</v>
      </c>
      <c r="E7" s="216">
        <f>E5-T6/10</f>
        <v>1.5999999999999999</v>
      </c>
      <c r="F7" s="216">
        <f>F5</f>
        <v>0</v>
      </c>
      <c r="G7" s="216">
        <v>0.1</v>
      </c>
      <c r="H7" s="216">
        <f>H5-T9/3</f>
        <v>2.0166666666666666</v>
      </c>
      <c r="I7" s="216">
        <f>C7*70+D7*45+E7*25+H7*75+G7*60+F7*150</f>
        <v>642.625</v>
      </c>
      <c r="J7" s="92"/>
      <c r="K7" s="92"/>
      <c r="L7" s="145" t="str">
        <f>IF(K7,"公斤","")</f>
        <v/>
      </c>
      <c r="M7" s="92" t="s">
        <v>62</v>
      </c>
      <c r="N7" s="92">
        <v>1.5</v>
      </c>
      <c r="O7" s="145" t="str">
        <f t="shared" ref="O7:O11" si="0">IF(N7,"公斤","")</f>
        <v>公斤</v>
      </c>
      <c r="P7" s="92" t="s">
        <v>63</v>
      </c>
      <c r="Q7" s="92">
        <v>4</v>
      </c>
      <c r="R7" s="145" t="str">
        <f t="shared" ref="R7:R11" si="1">IF(Q7,"公斤","")</f>
        <v>公斤</v>
      </c>
      <c r="S7" s="92" t="s">
        <v>64</v>
      </c>
      <c r="T7" s="92">
        <v>0.05</v>
      </c>
      <c r="U7" s="145" t="str">
        <f t="shared" ref="U7:U11" si="2">IF(T7,"公斤","")</f>
        <v>公斤</v>
      </c>
      <c r="V7" s="92" t="s">
        <v>64</v>
      </c>
      <c r="W7" s="92">
        <v>0.05</v>
      </c>
      <c r="X7" s="145" t="str">
        <f t="shared" ref="X7:X11" si="3">IF(W7,"公斤","")</f>
        <v>公斤</v>
      </c>
      <c r="Y7" s="92" t="s">
        <v>65</v>
      </c>
      <c r="Z7" s="92">
        <v>3</v>
      </c>
      <c r="AA7" s="145" t="str">
        <f t="shared" ref="AA7:AA11" si="4">IF(Z7,"公斤","")</f>
        <v>公斤</v>
      </c>
      <c r="AB7" s="94"/>
      <c r="AC7" s="230"/>
      <c r="AD7" s="231"/>
      <c r="AE7" s="231"/>
      <c r="AF7" s="5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</row>
    <row r="8" spans="1:51" s="229" customFormat="1" ht="15" customHeight="1">
      <c r="A8" s="105"/>
      <c r="B8" s="104"/>
      <c r="C8" s="93"/>
      <c r="D8" s="93"/>
      <c r="E8" s="93"/>
      <c r="F8" s="93"/>
      <c r="G8" s="93"/>
      <c r="H8" s="93"/>
      <c r="I8" s="93"/>
      <c r="J8" s="92"/>
      <c r="K8" s="92"/>
      <c r="L8" s="145" t="str">
        <f t="shared" ref="L8:L11" si="5">IF(K8,"公斤","")</f>
        <v/>
      </c>
      <c r="M8" s="92" t="s">
        <v>66</v>
      </c>
      <c r="N8" s="92">
        <v>2</v>
      </c>
      <c r="O8" s="145" t="str">
        <f t="shared" si="0"/>
        <v>公斤</v>
      </c>
      <c r="P8" s="92" t="s">
        <v>67</v>
      </c>
      <c r="Q8" s="92">
        <v>1.5</v>
      </c>
      <c r="R8" s="145" t="str">
        <f t="shared" si="1"/>
        <v>公斤</v>
      </c>
      <c r="S8" s="92" t="s">
        <v>68</v>
      </c>
      <c r="T8" s="92"/>
      <c r="U8" s="145" t="str">
        <f t="shared" si="2"/>
        <v/>
      </c>
      <c r="V8" s="92"/>
      <c r="W8" s="92"/>
      <c r="X8" s="145" t="str">
        <f t="shared" si="3"/>
        <v/>
      </c>
      <c r="Y8" s="92" t="s">
        <v>64</v>
      </c>
      <c r="Z8" s="92">
        <v>0.05</v>
      </c>
      <c r="AA8" s="145" t="str">
        <f t="shared" si="4"/>
        <v>公斤</v>
      </c>
      <c r="AB8" s="232"/>
      <c r="AC8" s="233"/>
      <c r="AD8" s="231"/>
      <c r="AE8" s="231"/>
      <c r="AF8" s="5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</row>
    <row r="9" spans="1:51" s="229" customFormat="1" ht="15" customHeight="1">
      <c r="A9" s="105"/>
      <c r="B9" s="104"/>
      <c r="C9" s="93"/>
      <c r="D9" s="93"/>
      <c r="E9" s="93"/>
      <c r="F9" s="93"/>
      <c r="G9" s="93"/>
      <c r="H9" s="93"/>
      <c r="I9" s="93"/>
      <c r="J9" s="92"/>
      <c r="K9" s="92"/>
      <c r="L9" s="145" t="str">
        <f t="shared" si="5"/>
        <v/>
      </c>
      <c r="M9" s="92" t="s">
        <v>217</v>
      </c>
      <c r="N9" s="92">
        <v>0.5</v>
      </c>
      <c r="O9" s="145" t="str">
        <f t="shared" si="0"/>
        <v>公斤</v>
      </c>
      <c r="P9" s="92" t="s">
        <v>64</v>
      </c>
      <c r="Q9" s="92">
        <v>0.05</v>
      </c>
      <c r="R9" s="145" t="str">
        <f t="shared" si="1"/>
        <v>公斤</v>
      </c>
      <c r="S9" s="92" t="s">
        <v>69</v>
      </c>
      <c r="T9" s="92">
        <v>1.3</v>
      </c>
      <c r="U9" s="145" t="str">
        <f t="shared" si="2"/>
        <v>公斤</v>
      </c>
      <c r="V9" s="92"/>
      <c r="W9" s="92"/>
      <c r="X9" s="145" t="str">
        <f t="shared" si="3"/>
        <v/>
      </c>
      <c r="Y9" s="92"/>
      <c r="Z9" s="92"/>
      <c r="AA9" s="145" t="str">
        <f t="shared" si="4"/>
        <v/>
      </c>
      <c r="AB9" s="232"/>
      <c r="AC9" s="233"/>
      <c r="AD9" s="231"/>
      <c r="AE9" s="231"/>
      <c r="AF9" s="5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</row>
    <row r="10" spans="1:51" s="229" customFormat="1" ht="15" customHeight="1">
      <c r="A10" s="105"/>
      <c r="B10" s="104"/>
      <c r="C10" s="93"/>
      <c r="D10" s="93"/>
      <c r="E10" s="93"/>
      <c r="F10" s="93"/>
      <c r="G10" s="93"/>
      <c r="H10" s="93"/>
      <c r="I10" s="93"/>
      <c r="J10" s="92"/>
      <c r="K10" s="92"/>
      <c r="L10" s="145" t="str">
        <f t="shared" si="5"/>
        <v/>
      </c>
      <c r="M10" s="92"/>
      <c r="N10" s="92"/>
      <c r="O10" s="145" t="str">
        <f t="shared" si="0"/>
        <v/>
      </c>
      <c r="P10" s="92" t="s">
        <v>70</v>
      </c>
      <c r="Q10" s="92">
        <v>1</v>
      </c>
      <c r="R10" s="145" t="str">
        <f t="shared" si="1"/>
        <v>公斤</v>
      </c>
      <c r="S10" s="92"/>
      <c r="T10" s="92"/>
      <c r="U10" s="145" t="str">
        <f t="shared" si="2"/>
        <v/>
      </c>
      <c r="V10" s="92"/>
      <c r="W10" s="92"/>
      <c r="X10" s="145" t="str">
        <f t="shared" si="3"/>
        <v/>
      </c>
      <c r="Y10" s="92"/>
      <c r="Z10" s="92"/>
      <c r="AA10" s="145" t="str">
        <f t="shared" si="4"/>
        <v/>
      </c>
      <c r="AB10" s="232"/>
      <c r="AC10" s="233"/>
      <c r="AD10" s="231"/>
      <c r="AE10" s="231"/>
      <c r="AF10" s="5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</row>
    <row r="11" spans="1:51" s="229" customFormat="1" ht="15" customHeight="1" thickBot="1">
      <c r="A11" s="110"/>
      <c r="B11" s="107"/>
      <c r="C11" s="108"/>
      <c r="D11" s="108"/>
      <c r="E11" s="108"/>
      <c r="F11" s="108"/>
      <c r="G11" s="108"/>
      <c r="H11" s="108"/>
      <c r="I11" s="108"/>
      <c r="J11" s="109"/>
      <c r="K11" s="109"/>
      <c r="L11" s="145" t="str">
        <f t="shared" si="5"/>
        <v/>
      </c>
      <c r="M11" s="109"/>
      <c r="N11" s="109"/>
      <c r="O11" s="145" t="str">
        <f t="shared" si="0"/>
        <v/>
      </c>
      <c r="P11" s="109"/>
      <c r="Q11" s="109"/>
      <c r="R11" s="145" t="str">
        <f t="shared" si="1"/>
        <v/>
      </c>
      <c r="S11" s="109"/>
      <c r="T11" s="109"/>
      <c r="U11" s="145" t="str">
        <f t="shared" si="2"/>
        <v/>
      </c>
      <c r="V11" s="109"/>
      <c r="W11" s="109"/>
      <c r="X11" s="145" t="str">
        <f t="shared" si="3"/>
        <v/>
      </c>
      <c r="Y11" s="109"/>
      <c r="Z11" s="109"/>
      <c r="AA11" s="145" t="str">
        <f t="shared" si="4"/>
        <v/>
      </c>
      <c r="AB11" s="234"/>
      <c r="AC11" s="235"/>
      <c r="AD11" s="231"/>
      <c r="AE11" s="231"/>
      <c r="AF11" s="5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</row>
    <row r="12" spans="1:51" s="229" customFormat="1" ht="15" customHeight="1">
      <c r="A12" s="111" t="s">
        <v>2</v>
      </c>
      <c r="B12" s="114" t="s">
        <v>276</v>
      </c>
      <c r="C12" s="112">
        <f>K13/2+K14/2+Z13/2.5</f>
        <v>5.8</v>
      </c>
      <c r="D12" s="112">
        <f>(E12+H12)/2</f>
        <v>2.335</v>
      </c>
      <c r="E12" s="112">
        <f>(N14+N15+N16+N17+Q13+Q14+Q15+W13+T14+T15)/10</f>
        <v>1.97</v>
      </c>
      <c r="F12" s="112">
        <v>0</v>
      </c>
      <c r="G12" s="112">
        <v>0</v>
      </c>
      <c r="H12" s="112">
        <v>2.7</v>
      </c>
      <c r="I12" s="112">
        <f>C12*70+D12*45+E12*25+H12*75+G12*60+F12*150</f>
        <v>762.82500000000005</v>
      </c>
      <c r="J12" s="288" t="s">
        <v>71</v>
      </c>
      <c r="K12" s="289"/>
      <c r="L12" s="66"/>
      <c r="M12" s="288" t="s">
        <v>452</v>
      </c>
      <c r="N12" s="289"/>
      <c r="O12" s="66"/>
      <c r="P12" s="288" t="s">
        <v>72</v>
      </c>
      <c r="Q12" s="289"/>
      <c r="R12" s="66"/>
      <c r="S12" s="237" t="s">
        <v>298</v>
      </c>
      <c r="T12" s="238"/>
      <c r="U12" s="66"/>
      <c r="V12" s="288" t="s">
        <v>55</v>
      </c>
      <c r="W12" s="289"/>
      <c r="X12" s="66"/>
      <c r="Y12" s="237" t="s">
        <v>299</v>
      </c>
      <c r="Z12" s="238"/>
      <c r="AA12" s="66"/>
      <c r="AB12" s="237" t="s">
        <v>283</v>
      </c>
      <c r="AC12" s="239"/>
      <c r="AD12" s="51" t="str">
        <f t="shared" ref="AD12" si="6">A12</f>
        <v>A4</v>
      </c>
      <c r="AE12" s="51" t="str">
        <f t="shared" ref="AE12" si="7">J12</f>
        <v>糙米飯</v>
      </c>
      <c r="AF12" s="51" t="str">
        <f t="shared" ref="AF12" si="8">J13&amp;" "&amp;J14&amp;" "&amp;J15&amp;" "&amp;J16&amp;" "&amp;J17&amp;" "&amp;J18</f>
        <v xml:space="preserve">米 糙米    </v>
      </c>
      <c r="AG12" s="51" t="str">
        <f t="shared" ref="AG12" si="9">M12</f>
        <v>打拋干丁</v>
      </c>
      <c r="AH12" s="51" t="str">
        <f t="shared" ref="AH12" si="10">M13&amp;" "&amp;M14&amp;" "&amp;M15&amp;" "&amp;M16&amp;" "&amp;M17&amp;" "&amp;M18</f>
        <v xml:space="preserve">豆干 刈薯 九層塔 胡蘿蔔 大番茄 </v>
      </c>
      <c r="AI12" s="51" t="str">
        <f t="shared" ref="AI12" si="11">P12</f>
        <v>奶香雙菇</v>
      </c>
      <c r="AJ12" s="51" t="str">
        <f t="shared" ref="AJ12" si="12">P13&amp;" "&amp;P14&amp;" "&amp;P15&amp;" "&amp;P16&amp;" "&amp;P17&amp;" "&amp;P18</f>
        <v xml:space="preserve">秀珍菇 鴻喜菇 甜椒(紅皮) 素肉絲 奶油(固態) </v>
      </c>
      <c r="AK12" s="51" t="str">
        <f t="shared" ref="AK12" si="13">S12</f>
        <v>筍干油腐</v>
      </c>
      <c r="AL12" s="51" t="str">
        <f t="shared" ref="AL12" si="14">S13&amp;" "&amp;S14&amp;" "&amp;S15&amp;" "&amp;S16&amp;" "&amp;S17&amp;" "&amp;S18</f>
        <v xml:space="preserve">四角油豆腐 麻竹筍干 胡蘿蔔 薑  </v>
      </c>
      <c r="AM12" s="51" t="str">
        <f t="shared" ref="AM12" si="15">V12</f>
        <v>時蔬</v>
      </c>
      <c r="AN12" s="51" t="str">
        <f t="shared" ref="AN12" si="16">V13&amp;" "&amp;V14&amp;" "&amp;V15&amp;" "&amp;V16&amp;" "&amp;V17&amp;" "&amp;V18</f>
        <v xml:space="preserve">蔬菜 薑    </v>
      </c>
      <c r="AO12" s="51" t="str">
        <f t="shared" ref="AO12" si="17">Y12</f>
        <v>綠豆湯</v>
      </c>
      <c r="AP12" s="51" t="str">
        <f t="shared" ref="AP12" si="18">Y13&amp;" "&amp;Y14&amp;" "&amp;Y15&amp;" "&amp;Y16&amp;" "&amp;Y17&amp;" "&amp;Y18</f>
        <v xml:space="preserve">綠豆 紅砂糖    </v>
      </c>
      <c r="AQ12" s="51" t="str">
        <f>AB12</f>
        <v>點心</v>
      </c>
      <c r="AR12" s="51">
        <f>AC12</f>
        <v>0</v>
      </c>
      <c r="AS12" s="228">
        <f t="shared" ref="AS12" si="19">C12</f>
        <v>5.8</v>
      </c>
      <c r="AT12" s="228">
        <f t="shared" ref="AT12" si="20">H12</f>
        <v>2.7</v>
      </c>
      <c r="AU12" s="228">
        <f t="shared" ref="AU12" si="21">E12</f>
        <v>1.97</v>
      </c>
      <c r="AV12" s="228">
        <f t="shared" ref="AV12" si="22">D12</f>
        <v>2.335</v>
      </c>
      <c r="AW12" s="228">
        <f t="shared" ref="AW12" si="23">F12</f>
        <v>0</v>
      </c>
      <c r="AX12" s="228">
        <f t="shared" ref="AX12" si="24">G12</f>
        <v>0</v>
      </c>
      <c r="AY12" s="228">
        <f t="shared" ref="AY12" si="25">I12</f>
        <v>762.82500000000005</v>
      </c>
    </row>
    <row r="13" spans="1:51" s="229" customFormat="1" ht="15" customHeight="1">
      <c r="A13" s="122"/>
      <c r="B13" s="113"/>
      <c r="C13" s="116"/>
      <c r="D13" s="116"/>
      <c r="E13" s="116"/>
      <c r="F13" s="116"/>
      <c r="G13" s="116"/>
      <c r="H13" s="116"/>
      <c r="I13" s="116"/>
      <c r="J13" s="92" t="s">
        <v>57</v>
      </c>
      <c r="K13" s="92">
        <v>7</v>
      </c>
      <c r="L13" s="145" t="str">
        <f t="shared" ref="L13:L74" si="26">IF(K13,"公斤","")</f>
        <v>公斤</v>
      </c>
      <c r="M13" s="92" t="s">
        <v>106</v>
      </c>
      <c r="N13" s="92">
        <v>6</v>
      </c>
      <c r="O13" s="145" t="str">
        <f t="shared" ref="O13:O74" si="27">IF(N13,"公斤","")</f>
        <v>公斤</v>
      </c>
      <c r="P13" s="92" t="s">
        <v>73</v>
      </c>
      <c r="Q13" s="92">
        <v>2</v>
      </c>
      <c r="R13" s="145" t="str">
        <f t="shared" ref="R13:R74" si="28">IF(Q13,"公斤","")</f>
        <v>公斤</v>
      </c>
      <c r="S13" s="94" t="s">
        <v>74</v>
      </c>
      <c r="T13" s="94">
        <v>3</v>
      </c>
      <c r="U13" s="145" t="str">
        <f t="shared" ref="U13:U74" si="29">IF(T13,"公斤","")</f>
        <v>公斤</v>
      </c>
      <c r="V13" s="92" t="s">
        <v>48</v>
      </c>
      <c r="W13" s="92">
        <v>7</v>
      </c>
      <c r="X13" s="145" t="str">
        <f t="shared" ref="X13:X74" si="30">IF(W13,"公斤","")</f>
        <v>公斤</v>
      </c>
      <c r="Y13" s="94" t="s">
        <v>302</v>
      </c>
      <c r="Z13" s="94">
        <v>2</v>
      </c>
      <c r="AA13" s="145" t="str">
        <f t="shared" ref="AA13:AA74" si="31">IF(Z13,"公斤","")</f>
        <v>公斤</v>
      </c>
      <c r="AB13" s="94" t="s">
        <v>283</v>
      </c>
      <c r="AC13" s="233"/>
      <c r="AD13" s="231"/>
      <c r="AE13" s="231"/>
      <c r="AF13" s="5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</row>
    <row r="14" spans="1:51" s="229" customFormat="1" ht="15" customHeight="1">
      <c r="A14" s="122"/>
      <c r="B14" s="217" t="s">
        <v>557</v>
      </c>
      <c r="C14" s="217">
        <f>C12-(Q14+Q15)/10</f>
        <v>5.5</v>
      </c>
      <c r="D14" s="217">
        <f>(E14+H14)/2</f>
        <v>1.96</v>
      </c>
      <c r="E14" s="217">
        <f>E12-(T14+T15)/10</f>
        <v>1.72</v>
      </c>
      <c r="F14" s="217">
        <f t="shared" ref="F14:G14" si="32">F12</f>
        <v>0</v>
      </c>
      <c r="G14" s="217">
        <f t="shared" si="32"/>
        <v>0</v>
      </c>
      <c r="H14" s="217">
        <f>2.2</f>
        <v>2.2000000000000002</v>
      </c>
      <c r="I14" s="217">
        <f>C14*70+D14*45+E14*25+H14*75+G14*60+F14*150</f>
        <v>681.2</v>
      </c>
      <c r="J14" s="92" t="s">
        <v>61</v>
      </c>
      <c r="K14" s="92">
        <v>3</v>
      </c>
      <c r="L14" s="145" t="str">
        <f t="shared" si="26"/>
        <v>公斤</v>
      </c>
      <c r="M14" s="92" t="s">
        <v>75</v>
      </c>
      <c r="N14" s="92">
        <v>3</v>
      </c>
      <c r="O14" s="145" t="str">
        <f t="shared" si="27"/>
        <v>公斤</v>
      </c>
      <c r="P14" s="92" t="s">
        <v>76</v>
      </c>
      <c r="Q14" s="92">
        <v>2</v>
      </c>
      <c r="R14" s="145" t="str">
        <f t="shared" si="28"/>
        <v>公斤</v>
      </c>
      <c r="S14" s="94" t="s">
        <v>304</v>
      </c>
      <c r="T14" s="94">
        <v>2</v>
      </c>
      <c r="U14" s="145" t="str">
        <f t="shared" si="29"/>
        <v>公斤</v>
      </c>
      <c r="V14" s="92" t="s">
        <v>64</v>
      </c>
      <c r="W14" s="92">
        <v>0.05</v>
      </c>
      <c r="X14" s="145" t="str">
        <f t="shared" si="30"/>
        <v>公斤</v>
      </c>
      <c r="Y14" s="94" t="s">
        <v>77</v>
      </c>
      <c r="Z14" s="94">
        <v>1</v>
      </c>
      <c r="AA14" s="145" t="str">
        <f t="shared" si="31"/>
        <v>公斤</v>
      </c>
      <c r="AB14" s="94"/>
      <c r="AC14" s="233"/>
      <c r="AD14" s="231"/>
      <c r="AE14" s="231"/>
      <c r="AF14" s="5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</row>
    <row r="15" spans="1:51" s="229" customFormat="1" ht="15" customHeight="1">
      <c r="A15" s="122"/>
      <c r="B15" s="113"/>
      <c r="C15" s="116"/>
      <c r="D15" s="116"/>
      <c r="E15" s="116"/>
      <c r="F15" s="116"/>
      <c r="G15" s="116"/>
      <c r="H15" s="116"/>
      <c r="I15" s="116"/>
      <c r="J15" s="92"/>
      <c r="K15" s="92"/>
      <c r="L15" s="145" t="str">
        <f t="shared" si="26"/>
        <v/>
      </c>
      <c r="M15" s="92" t="s">
        <v>78</v>
      </c>
      <c r="N15" s="92">
        <v>0.2</v>
      </c>
      <c r="O15" s="145" t="str">
        <f t="shared" si="27"/>
        <v>公斤</v>
      </c>
      <c r="P15" s="92" t="s">
        <v>79</v>
      </c>
      <c r="Q15" s="92">
        <v>1</v>
      </c>
      <c r="R15" s="145" t="str">
        <f t="shared" si="28"/>
        <v>公斤</v>
      </c>
      <c r="S15" s="94" t="s">
        <v>8</v>
      </c>
      <c r="T15" s="94">
        <v>0.5</v>
      </c>
      <c r="U15" s="145" t="str">
        <f t="shared" si="29"/>
        <v>公斤</v>
      </c>
      <c r="V15" s="92"/>
      <c r="W15" s="92"/>
      <c r="X15" s="145" t="str">
        <f t="shared" si="30"/>
        <v/>
      </c>
      <c r="Y15" s="94"/>
      <c r="Z15" s="94"/>
      <c r="AA15" s="145" t="str">
        <f t="shared" si="31"/>
        <v/>
      </c>
      <c r="AB15" s="232"/>
      <c r="AC15" s="233"/>
      <c r="AD15" s="231"/>
      <c r="AE15" s="231"/>
      <c r="AF15" s="5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</row>
    <row r="16" spans="1:51" s="229" customFormat="1" ht="15" customHeight="1">
      <c r="A16" s="122"/>
      <c r="B16" s="113"/>
      <c r="C16" s="116"/>
      <c r="D16" s="116"/>
      <c r="E16" s="116"/>
      <c r="F16" s="116"/>
      <c r="G16" s="116"/>
      <c r="H16" s="116"/>
      <c r="I16" s="116"/>
      <c r="J16" s="92"/>
      <c r="K16" s="92"/>
      <c r="L16" s="145" t="str">
        <f t="shared" si="26"/>
        <v/>
      </c>
      <c r="M16" s="92" t="s">
        <v>58</v>
      </c>
      <c r="N16" s="92">
        <v>1</v>
      </c>
      <c r="O16" s="145" t="str">
        <f t="shared" si="27"/>
        <v>公斤</v>
      </c>
      <c r="P16" s="92" t="s">
        <v>80</v>
      </c>
      <c r="Q16" s="92">
        <v>0.8</v>
      </c>
      <c r="R16" s="145" t="str">
        <f t="shared" si="28"/>
        <v>公斤</v>
      </c>
      <c r="S16" s="92" t="s">
        <v>64</v>
      </c>
      <c r="T16" s="92">
        <v>0.05</v>
      </c>
      <c r="U16" s="145" t="str">
        <f t="shared" si="29"/>
        <v>公斤</v>
      </c>
      <c r="V16" s="92"/>
      <c r="W16" s="92"/>
      <c r="X16" s="145" t="str">
        <f t="shared" si="30"/>
        <v/>
      </c>
      <c r="Y16" s="94"/>
      <c r="Z16" s="94"/>
      <c r="AA16" s="145" t="str">
        <f t="shared" si="31"/>
        <v/>
      </c>
      <c r="AB16" s="232"/>
      <c r="AC16" s="233"/>
      <c r="AD16" s="231"/>
      <c r="AE16" s="231"/>
      <c r="AF16" s="5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</row>
    <row r="17" spans="1:51" s="229" customFormat="1" ht="15" customHeight="1">
      <c r="A17" s="122"/>
      <c r="B17" s="113"/>
      <c r="C17" s="116"/>
      <c r="D17" s="116"/>
      <c r="E17" s="116"/>
      <c r="F17" s="116"/>
      <c r="G17" s="116"/>
      <c r="H17" s="116"/>
      <c r="I17" s="116"/>
      <c r="J17" s="92"/>
      <c r="K17" s="92"/>
      <c r="L17" s="145" t="str">
        <f t="shared" si="26"/>
        <v/>
      </c>
      <c r="M17" s="92" t="s">
        <v>81</v>
      </c>
      <c r="N17" s="92">
        <v>1</v>
      </c>
      <c r="O17" s="145" t="str">
        <f t="shared" si="27"/>
        <v>公斤</v>
      </c>
      <c r="P17" s="92" t="s">
        <v>82</v>
      </c>
      <c r="Q17" s="92">
        <v>0.6</v>
      </c>
      <c r="R17" s="145" t="str">
        <f t="shared" si="28"/>
        <v>公斤</v>
      </c>
      <c r="S17" s="94"/>
      <c r="T17" s="94"/>
      <c r="U17" s="145" t="str">
        <f t="shared" si="29"/>
        <v/>
      </c>
      <c r="V17" s="92"/>
      <c r="W17" s="92"/>
      <c r="X17" s="145" t="str">
        <f t="shared" si="30"/>
        <v/>
      </c>
      <c r="Y17" s="94"/>
      <c r="Z17" s="94"/>
      <c r="AA17" s="145" t="str">
        <f t="shared" si="31"/>
        <v/>
      </c>
      <c r="AB17" s="232"/>
      <c r="AC17" s="233"/>
      <c r="AD17" s="231"/>
      <c r="AE17" s="231"/>
      <c r="AF17" s="5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</row>
    <row r="18" spans="1:51" s="229" customFormat="1" ht="15" customHeight="1" thickBot="1">
      <c r="A18" s="123"/>
      <c r="B18" s="115"/>
      <c r="C18" s="117"/>
      <c r="D18" s="117"/>
      <c r="E18" s="117"/>
      <c r="F18" s="117"/>
      <c r="G18" s="117"/>
      <c r="H18" s="117"/>
      <c r="I18" s="117"/>
      <c r="J18" s="109"/>
      <c r="K18" s="109"/>
      <c r="L18" s="145" t="str">
        <f t="shared" si="26"/>
        <v/>
      </c>
      <c r="M18" s="109"/>
      <c r="N18" s="109"/>
      <c r="O18" s="145" t="str">
        <f t="shared" si="27"/>
        <v/>
      </c>
      <c r="P18" s="109"/>
      <c r="Q18" s="109"/>
      <c r="R18" s="145" t="str">
        <f t="shared" si="28"/>
        <v/>
      </c>
      <c r="S18" s="234"/>
      <c r="T18" s="234"/>
      <c r="U18" s="145" t="str">
        <f t="shared" si="29"/>
        <v/>
      </c>
      <c r="V18" s="109"/>
      <c r="W18" s="109"/>
      <c r="X18" s="145" t="str">
        <f t="shared" si="30"/>
        <v/>
      </c>
      <c r="Y18" s="234"/>
      <c r="Z18" s="234"/>
      <c r="AA18" s="145" t="str">
        <f t="shared" si="31"/>
        <v/>
      </c>
      <c r="AB18" s="234"/>
      <c r="AC18" s="235"/>
      <c r="AD18" s="231"/>
      <c r="AE18" s="231"/>
      <c r="AF18" s="5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</row>
    <row r="19" spans="1:51" s="229" customFormat="1" ht="15" customHeight="1">
      <c r="A19" s="111" t="s">
        <v>3</v>
      </c>
      <c r="B19" s="114" t="s">
        <v>276</v>
      </c>
      <c r="C19" s="112">
        <f>K20/2+T20/1.5+Q22/8.5</f>
        <v>6.1764705882352944</v>
      </c>
      <c r="D19" s="112">
        <f>(E19+H19)/2</f>
        <v>2.4454545454545458</v>
      </c>
      <c r="E19" s="112">
        <f>(N21+Q21+Q23+T21+W20+Z20+Z21+Z23)/10</f>
        <v>2.2000000000000002</v>
      </c>
      <c r="F19" s="112">
        <v>0</v>
      </c>
      <c r="G19" s="112">
        <v>0</v>
      </c>
      <c r="H19" s="112">
        <f>N20/3.5+Q20/5.5+T25/1.16</f>
        <v>2.6909090909090914</v>
      </c>
      <c r="I19" s="112">
        <f>C19*70+D19*45+E19*25+H19*75+G19*60+F19*150</f>
        <v>799.2165775401071</v>
      </c>
      <c r="J19" s="288" t="s">
        <v>83</v>
      </c>
      <c r="K19" s="289"/>
      <c r="L19" s="66"/>
      <c r="M19" s="288" t="s">
        <v>84</v>
      </c>
      <c r="N19" s="289"/>
      <c r="O19" s="66"/>
      <c r="P19" s="288" t="s">
        <v>85</v>
      </c>
      <c r="Q19" s="289"/>
      <c r="R19" s="66"/>
      <c r="S19" s="237" t="s">
        <v>86</v>
      </c>
      <c r="T19" s="238"/>
      <c r="U19" s="66"/>
      <c r="V19" s="288" t="s">
        <v>55</v>
      </c>
      <c r="W19" s="289"/>
      <c r="X19" s="66"/>
      <c r="Y19" s="290" t="s">
        <v>496</v>
      </c>
      <c r="Z19" s="289"/>
      <c r="AA19" s="66"/>
      <c r="AB19" s="237" t="s">
        <v>283</v>
      </c>
      <c r="AC19" s="227" t="s">
        <v>56</v>
      </c>
      <c r="AD19" s="51" t="str">
        <f t="shared" ref="AD19" si="33">A19</f>
        <v>A5</v>
      </c>
      <c r="AE19" s="51" t="str">
        <f t="shared" ref="AE19" si="34">J19</f>
        <v>紅藜飯</v>
      </c>
      <c r="AF19" s="51" t="str">
        <f t="shared" ref="AF19" si="35">J20&amp;" "&amp;J21&amp;" "&amp;J22&amp;" "&amp;J23&amp;" "&amp;J24&amp;" "&amp;J25</f>
        <v xml:space="preserve">米 紅藜    </v>
      </c>
      <c r="AG19" s="51" t="str">
        <f t="shared" ref="AG19" si="36">M19</f>
        <v>堅果麵腸</v>
      </c>
      <c r="AH19" s="51" t="str">
        <f t="shared" ref="AH19" si="37">M20&amp;" "&amp;M21&amp;" "&amp;M22&amp;" "&amp;M23&amp;" "&amp;M24&amp;" "&amp;M25</f>
        <v xml:space="preserve">麵腸 時蔬 腰果 南瓜子 薑 </v>
      </c>
      <c r="AI19" s="51" t="str">
        <f t="shared" ref="AI19" si="38">P19</f>
        <v>關東煮</v>
      </c>
      <c r="AJ19" s="51" t="str">
        <f t="shared" ref="AJ19" si="39">P20&amp;" "&amp;P21&amp;" "&amp;P22&amp;" "&amp;P23&amp;" "&amp;P24&amp;" "&amp;P25</f>
        <v xml:space="preserve">油豆腐 白蘿蔔 玉米 胡蘿蔔 素黑輪 </v>
      </c>
      <c r="AK19" s="51" t="str">
        <f t="shared" ref="AK19" si="40">S19</f>
        <v>沙茶寬粉</v>
      </c>
      <c r="AL19" s="51" t="str">
        <f t="shared" ref="AL19" si="41">S20&amp;" "&amp;S21&amp;" "&amp;S22&amp;" "&amp;S23&amp;" "&amp;S24&amp;" "&amp;S25</f>
        <v xml:space="preserve">寬粉 時蔬 乾木耳 薑 素沙茶醬 </v>
      </c>
      <c r="AM19" s="51" t="str">
        <f t="shared" ref="AM19" si="42">V19</f>
        <v>時蔬</v>
      </c>
      <c r="AN19" s="51" t="str">
        <f t="shared" ref="AN19" si="43">V20&amp;" "&amp;V21&amp;" "&amp;V22&amp;" "&amp;V23&amp;" "&amp;V24&amp;" "&amp;V25</f>
        <v xml:space="preserve">蔬菜 薑    </v>
      </c>
      <c r="AO19" s="51" t="str">
        <f t="shared" ref="AO19" si="44">Y19</f>
        <v>時瓜湯</v>
      </c>
      <c r="AP19" s="51" t="str">
        <f t="shared" ref="AP19" si="45">Y20&amp;" "&amp;Y21&amp;" "&amp;Y22&amp;" "&amp;Y23&amp;" "&amp;Y24&amp;" "&amp;Y25</f>
        <v xml:space="preserve">時瓜 胡蘿蔔 薑 素羊肉  </v>
      </c>
      <c r="AQ19" s="51" t="str">
        <f>AB19</f>
        <v>點心</v>
      </c>
      <c r="AR19" s="51" t="str">
        <f>AC19</f>
        <v>有機豆奶</v>
      </c>
      <c r="AS19" s="228">
        <f t="shared" ref="AS19" si="46">C19</f>
        <v>6.1764705882352944</v>
      </c>
      <c r="AT19" s="228">
        <f t="shared" ref="AT19" si="47">H19</f>
        <v>2.6909090909090914</v>
      </c>
      <c r="AU19" s="228">
        <f t="shared" ref="AU19" si="48">E19</f>
        <v>2.2000000000000002</v>
      </c>
      <c r="AV19" s="228">
        <f t="shared" ref="AV19" si="49">D19</f>
        <v>2.4454545454545458</v>
      </c>
      <c r="AW19" s="228">
        <f t="shared" ref="AW19" si="50">F19</f>
        <v>0</v>
      </c>
      <c r="AX19" s="228">
        <f t="shared" ref="AX19" si="51">G19</f>
        <v>0</v>
      </c>
      <c r="AY19" s="228">
        <f t="shared" ref="AY19" si="52">I19</f>
        <v>799.2165775401071</v>
      </c>
    </row>
    <row r="20" spans="1:51" s="229" customFormat="1" ht="15" customHeight="1">
      <c r="A20" s="122"/>
      <c r="B20" s="113"/>
      <c r="C20" s="116"/>
      <c r="D20" s="116"/>
      <c r="E20" s="116"/>
      <c r="F20" s="116"/>
      <c r="G20" s="116"/>
      <c r="H20" s="116"/>
      <c r="I20" s="116"/>
      <c r="J20" s="92" t="s">
        <v>57</v>
      </c>
      <c r="K20" s="92">
        <v>10</v>
      </c>
      <c r="L20" s="145" t="str">
        <f t="shared" ref="L20:L21" si="53">IF(K20,"公斤","")</f>
        <v>公斤</v>
      </c>
      <c r="M20" s="92" t="s">
        <v>88</v>
      </c>
      <c r="N20" s="92">
        <v>7.7</v>
      </c>
      <c r="O20" s="145" t="str">
        <f t="shared" ref="O20" si="54">IF(N20,"公斤","")</f>
        <v>公斤</v>
      </c>
      <c r="P20" s="92" t="s">
        <v>89</v>
      </c>
      <c r="Q20" s="92">
        <v>2.7</v>
      </c>
      <c r="R20" s="145" t="str">
        <f t="shared" ref="R20" si="55">IF(Q20,"公斤","")</f>
        <v>公斤</v>
      </c>
      <c r="S20" s="94" t="s">
        <v>90</v>
      </c>
      <c r="T20" s="94">
        <v>1.5</v>
      </c>
      <c r="U20" s="145" t="str">
        <f t="shared" ref="U20" si="56">IF(T20,"公斤","")</f>
        <v>公斤</v>
      </c>
      <c r="V20" s="92" t="s">
        <v>48</v>
      </c>
      <c r="W20" s="92">
        <v>7</v>
      </c>
      <c r="X20" s="145" t="str">
        <f t="shared" ref="X20" si="57">IF(W20,"公斤","")</f>
        <v>公斤</v>
      </c>
      <c r="Y20" s="140" t="s">
        <v>488</v>
      </c>
      <c r="Z20" s="92">
        <v>4</v>
      </c>
      <c r="AA20" s="145" t="str">
        <f t="shared" ref="AA20" si="58">IF(Z20,"公斤","")</f>
        <v>公斤</v>
      </c>
      <c r="AB20" s="94" t="s">
        <v>283</v>
      </c>
      <c r="AC20" s="230" t="s">
        <v>56</v>
      </c>
      <c r="AD20" s="231"/>
      <c r="AE20" s="231"/>
      <c r="AF20" s="5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</row>
    <row r="21" spans="1:51" s="229" customFormat="1" ht="15" customHeight="1">
      <c r="A21" s="122"/>
      <c r="B21" s="217" t="s">
        <v>557</v>
      </c>
      <c r="C21" s="217">
        <v>5.2</v>
      </c>
      <c r="D21" s="217">
        <f>(E21+H21)/2</f>
        <v>2.2954545454545459</v>
      </c>
      <c r="E21" s="217">
        <f>E19-T21/10</f>
        <v>1.9000000000000001</v>
      </c>
      <c r="F21" s="217">
        <f t="shared" ref="F21:G21" si="59">F19</f>
        <v>0</v>
      </c>
      <c r="G21" s="217">
        <f t="shared" si="59"/>
        <v>0</v>
      </c>
      <c r="H21" s="217">
        <f>H19-T25/1.16</f>
        <v>2.6909090909090914</v>
      </c>
      <c r="I21" s="217">
        <f>C21*70+D21*45+E21*25+H21*75+G21*60+F21*150</f>
        <v>716.61363636363637</v>
      </c>
      <c r="J21" s="92" t="s">
        <v>91</v>
      </c>
      <c r="K21" s="92">
        <v>0.1</v>
      </c>
      <c r="L21" s="145" t="str">
        <f t="shared" si="53"/>
        <v>公斤</v>
      </c>
      <c r="M21" s="92" t="s">
        <v>55</v>
      </c>
      <c r="N21" s="92">
        <v>3</v>
      </c>
      <c r="O21" s="145" t="str">
        <f t="shared" si="27"/>
        <v>公斤</v>
      </c>
      <c r="P21" s="92" t="s">
        <v>65</v>
      </c>
      <c r="Q21" s="92">
        <v>3</v>
      </c>
      <c r="R21" s="145" t="str">
        <f t="shared" si="28"/>
        <v>公斤</v>
      </c>
      <c r="S21" s="94" t="s">
        <v>92</v>
      </c>
      <c r="T21" s="94">
        <v>3</v>
      </c>
      <c r="U21" s="145" t="str">
        <f t="shared" si="29"/>
        <v>公斤</v>
      </c>
      <c r="V21" s="92" t="s">
        <v>64</v>
      </c>
      <c r="W21" s="92">
        <v>0.05</v>
      </c>
      <c r="X21" s="145" t="str">
        <f t="shared" si="30"/>
        <v>公斤</v>
      </c>
      <c r="Y21" s="140" t="s">
        <v>497</v>
      </c>
      <c r="Z21" s="92">
        <v>0.5</v>
      </c>
      <c r="AA21" s="145" t="str">
        <f t="shared" si="31"/>
        <v>公斤</v>
      </c>
      <c r="AB21" s="94"/>
      <c r="AC21" s="233"/>
      <c r="AD21" s="231"/>
      <c r="AE21" s="231"/>
      <c r="AF21" s="5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</row>
    <row r="22" spans="1:51" s="229" customFormat="1" ht="15" customHeight="1">
      <c r="A22" s="122"/>
      <c r="B22" s="113"/>
      <c r="C22" s="116"/>
      <c r="D22" s="116"/>
      <c r="E22" s="116"/>
      <c r="F22" s="116"/>
      <c r="G22" s="116"/>
      <c r="H22" s="116"/>
      <c r="I22" s="116"/>
      <c r="J22" s="92"/>
      <c r="K22" s="92"/>
      <c r="L22" s="145" t="str">
        <f t="shared" si="26"/>
        <v/>
      </c>
      <c r="M22" s="92" t="s">
        <v>93</v>
      </c>
      <c r="N22" s="92">
        <v>0.1</v>
      </c>
      <c r="O22" s="145" t="str">
        <f t="shared" si="27"/>
        <v>公斤</v>
      </c>
      <c r="P22" s="92" t="s">
        <v>94</v>
      </c>
      <c r="Q22" s="92">
        <v>1.5</v>
      </c>
      <c r="R22" s="145" t="str">
        <f t="shared" si="28"/>
        <v>公斤</v>
      </c>
      <c r="S22" s="94" t="s">
        <v>95</v>
      </c>
      <c r="T22" s="94">
        <v>0.01</v>
      </c>
      <c r="U22" s="145" t="str">
        <f t="shared" si="29"/>
        <v>公斤</v>
      </c>
      <c r="V22" s="92"/>
      <c r="W22" s="92"/>
      <c r="X22" s="145" t="str">
        <f t="shared" si="30"/>
        <v/>
      </c>
      <c r="Y22" s="92" t="s">
        <v>64</v>
      </c>
      <c r="Z22" s="92">
        <v>0.05</v>
      </c>
      <c r="AA22" s="145" t="str">
        <f t="shared" si="31"/>
        <v>公斤</v>
      </c>
      <c r="AB22" s="232"/>
      <c r="AC22" s="233"/>
      <c r="AD22" s="231"/>
      <c r="AE22" s="231"/>
      <c r="AF22" s="5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</row>
    <row r="23" spans="1:51" s="229" customFormat="1" ht="15" customHeight="1">
      <c r="A23" s="122"/>
      <c r="B23" s="113"/>
      <c r="C23" s="116"/>
      <c r="D23" s="116"/>
      <c r="E23" s="116"/>
      <c r="F23" s="116"/>
      <c r="G23" s="116"/>
      <c r="H23" s="116"/>
      <c r="I23" s="116"/>
      <c r="J23" s="92"/>
      <c r="K23" s="92"/>
      <c r="L23" s="145" t="str">
        <f t="shared" si="26"/>
        <v/>
      </c>
      <c r="M23" s="92" t="s">
        <v>96</v>
      </c>
      <c r="N23" s="92">
        <v>0.1</v>
      </c>
      <c r="O23" s="145" t="str">
        <f t="shared" si="27"/>
        <v>公斤</v>
      </c>
      <c r="P23" s="92" t="s">
        <v>58</v>
      </c>
      <c r="Q23" s="92">
        <v>1</v>
      </c>
      <c r="R23" s="145" t="str">
        <f t="shared" si="28"/>
        <v>公斤</v>
      </c>
      <c r="S23" s="92" t="s">
        <v>64</v>
      </c>
      <c r="T23" s="92">
        <v>0.05</v>
      </c>
      <c r="U23" s="145" t="str">
        <f t="shared" si="29"/>
        <v>公斤</v>
      </c>
      <c r="V23" s="92"/>
      <c r="W23" s="92"/>
      <c r="X23" s="145" t="str">
        <f t="shared" si="30"/>
        <v/>
      </c>
      <c r="Y23" s="92" t="s">
        <v>97</v>
      </c>
      <c r="Z23" s="92">
        <v>0.5</v>
      </c>
      <c r="AA23" s="145" t="str">
        <f t="shared" si="31"/>
        <v>公斤</v>
      </c>
      <c r="AB23" s="232"/>
      <c r="AC23" s="233"/>
      <c r="AD23" s="231"/>
      <c r="AE23" s="231"/>
      <c r="AF23" s="5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</row>
    <row r="24" spans="1:51" s="229" customFormat="1" ht="15" customHeight="1">
      <c r="A24" s="122"/>
      <c r="B24" s="113"/>
      <c r="C24" s="116"/>
      <c r="D24" s="116"/>
      <c r="E24" s="116"/>
      <c r="F24" s="116"/>
      <c r="G24" s="116"/>
      <c r="H24" s="116"/>
      <c r="I24" s="116"/>
      <c r="J24" s="92"/>
      <c r="K24" s="92"/>
      <c r="L24" s="145" t="str">
        <f t="shared" si="26"/>
        <v/>
      </c>
      <c r="M24" s="92" t="s">
        <v>64</v>
      </c>
      <c r="N24" s="92">
        <v>0.05</v>
      </c>
      <c r="O24" s="145" t="str">
        <f t="shared" si="27"/>
        <v>公斤</v>
      </c>
      <c r="P24" s="92" t="s">
        <v>98</v>
      </c>
      <c r="Q24" s="92">
        <v>1</v>
      </c>
      <c r="R24" s="145" t="str">
        <f t="shared" si="28"/>
        <v>公斤</v>
      </c>
      <c r="S24" s="94" t="s">
        <v>453</v>
      </c>
      <c r="T24" s="94"/>
      <c r="U24" s="145" t="str">
        <f t="shared" si="29"/>
        <v/>
      </c>
      <c r="V24" s="92"/>
      <c r="W24" s="92"/>
      <c r="X24" s="145" t="str">
        <f t="shared" si="30"/>
        <v/>
      </c>
      <c r="Y24" s="92"/>
      <c r="Z24" s="92"/>
      <c r="AA24" s="145" t="str">
        <f t="shared" si="31"/>
        <v/>
      </c>
      <c r="AB24" s="232"/>
      <c r="AC24" s="233"/>
      <c r="AD24" s="231"/>
      <c r="AE24" s="231"/>
      <c r="AF24" s="5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</row>
    <row r="25" spans="1:51" s="229" customFormat="1" ht="15" customHeight="1" thickBot="1">
      <c r="A25" s="123"/>
      <c r="B25" s="115"/>
      <c r="C25" s="117"/>
      <c r="D25" s="117"/>
      <c r="E25" s="117"/>
      <c r="F25" s="117"/>
      <c r="G25" s="117"/>
      <c r="H25" s="117"/>
      <c r="I25" s="117"/>
      <c r="J25" s="109"/>
      <c r="K25" s="109"/>
      <c r="L25" s="145" t="str">
        <f t="shared" si="26"/>
        <v/>
      </c>
      <c r="M25" s="109"/>
      <c r="N25" s="109"/>
      <c r="O25" s="145" t="str">
        <f t="shared" si="27"/>
        <v/>
      </c>
      <c r="P25" s="109"/>
      <c r="Q25" s="109"/>
      <c r="R25" s="145" t="str">
        <f t="shared" si="28"/>
        <v/>
      </c>
      <c r="S25" s="240"/>
      <c r="T25" s="240"/>
      <c r="U25" s="145" t="str">
        <f t="shared" si="29"/>
        <v/>
      </c>
      <c r="V25" s="109"/>
      <c r="W25" s="109"/>
      <c r="X25" s="145" t="str">
        <f t="shared" si="30"/>
        <v/>
      </c>
      <c r="Y25" s="109"/>
      <c r="Z25" s="109"/>
      <c r="AA25" s="145" t="str">
        <f t="shared" si="31"/>
        <v/>
      </c>
      <c r="AB25" s="234"/>
      <c r="AC25" s="235"/>
      <c r="AD25" s="231"/>
      <c r="AE25" s="231"/>
      <c r="AF25" s="5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</row>
    <row r="26" spans="1:51" s="229" customFormat="1" ht="15" customHeight="1">
      <c r="A26" s="111" t="s">
        <v>4</v>
      </c>
      <c r="B26" s="114" t="s">
        <v>276</v>
      </c>
      <c r="C26" s="112">
        <f>K27/2</f>
        <v>5</v>
      </c>
      <c r="D26" s="112">
        <f>(E26+H26)/2</f>
        <v>2.5954545454545457</v>
      </c>
      <c r="E26" s="112">
        <f>(N28+N29+Q28+Q29+W27+Z27+Z30)/10</f>
        <v>2</v>
      </c>
      <c r="F26" s="112">
        <v>0</v>
      </c>
      <c r="G26" s="112">
        <v>0</v>
      </c>
      <c r="H26" s="112">
        <f>N27/1.2+N30/5+Q27/5.5+Q31/4+T28/4</f>
        <v>3.1909090909090909</v>
      </c>
      <c r="I26" s="112">
        <f>C26*70+D26*45+E26*25+H26*75+G26*60+F26*150</f>
        <v>756.11363636363626</v>
      </c>
      <c r="J26" s="288" t="s">
        <v>99</v>
      </c>
      <c r="K26" s="289"/>
      <c r="L26" s="66"/>
      <c r="M26" s="290" t="s">
        <v>499</v>
      </c>
      <c r="N26" s="289"/>
      <c r="O26" s="66"/>
      <c r="P26" s="288" t="s">
        <v>100</v>
      </c>
      <c r="Q26" s="289"/>
      <c r="R26" s="66"/>
      <c r="S26" s="288" t="s">
        <v>101</v>
      </c>
      <c r="T26" s="289"/>
      <c r="U26" s="66"/>
      <c r="V26" s="288" t="s">
        <v>55</v>
      </c>
      <c r="W26" s="289"/>
      <c r="X26" s="66"/>
      <c r="Y26" s="290" t="s">
        <v>498</v>
      </c>
      <c r="Z26" s="289"/>
      <c r="AA26" s="66"/>
      <c r="AB26" s="237" t="s">
        <v>283</v>
      </c>
      <c r="AC26" s="239"/>
      <c r="AD26" s="51" t="str">
        <f t="shared" ref="AD26" si="60">A26</f>
        <v>B1</v>
      </c>
      <c r="AE26" s="51" t="str">
        <f t="shared" ref="AE26" si="61">J26</f>
        <v>白米飯</v>
      </c>
      <c r="AF26" s="51" t="str">
        <f t="shared" ref="AF26" si="62">J27&amp;" "&amp;J28&amp;" "&amp;J29&amp;" "&amp;J30&amp;" "&amp;J31&amp;" "&amp;J32</f>
        <v xml:space="preserve">米     </v>
      </c>
      <c r="AG26" s="51" t="str">
        <f t="shared" ref="AG26" si="63">M26</f>
        <v>回鍋若片</v>
      </c>
      <c r="AH26" s="51" t="str">
        <f t="shared" ref="AH26" si="64">M27&amp;" "&amp;M28&amp;" "&amp;M29&amp;" "&amp;M30&amp;" "&amp;M31&amp;" "&amp;M32</f>
        <v xml:space="preserve">素肉片 時蔬 胡蘿蔔 冷凍毛豆仁 薑 </v>
      </c>
      <c r="AI26" s="51" t="str">
        <f t="shared" ref="AI26" si="65">P26</f>
        <v>蛋香白菜</v>
      </c>
      <c r="AJ26" s="51" t="str">
        <f t="shared" ref="AJ26" si="66">P27&amp;" "&amp;P28&amp;" "&amp;P29&amp;" "&amp;P30&amp;" "&amp;P31&amp;" "&amp;P32</f>
        <v xml:space="preserve">雞蛋 結球白菜 胡蘿蔔 薑 素火腿 </v>
      </c>
      <c r="AK26" s="51" t="str">
        <f t="shared" ref="AK26" si="67">S26</f>
        <v>蜜汁豆干</v>
      </c>
      <c r="AL26" s="51" t="str">
        <f t="shared" ref="AL26" si="68">S27&amp;" "&amp;S28&amp;" "&amp;S29&amp;" "&amp;S30&amp;" "&amp;S31&amp;" "&amp;S32</f>
        <v xml:space="preserve">芝麻(熟) 豆干 薑 滷包  </v>
      </c>
      <c r="AM26" s="51" t="str">
        <f t="shared" ref="AM26" si="69">V26</f>
        <v>時蔬</v>
      </c>
      <c r="AN26" s="51" t="str">
        <f t="shared" ref="AN26" si="70">V27&amp;" "&amp;V28&amp;" "&amp;V29&amp;" "&amp;V30&amp;" "&amp;V31&amp;" "&amp;V32</f>
        <v xml:space="preserve">蔬菜 薑    </v>
      </c>
      <c r="AO26" s="51" t="str">
        <f t="shared" ref="AO26" si="71">Y26</f>
        <v>時蔬湯</v>
      </c>
      <c r="AP26" s="51" t="str">
        <f t="shared" ref="AP26" si="72">Y27&amp;" "&amp;Y28&amp;" "&amp;Y29&amp;" "&amp;Y30&amp;" "&amp;Y31&amp;" "&amp;Y32</f>
        <v xml:space="preserve">時蔬 薑 枸杞 素羊肉  </v>
      </c>
      <c r="AQ26" s="51" t="str">
        <f>AB26</f>
        <v>點心</v>
      </c>
      <c r="AR26" s="51">
        <f>AC26</f>
        <v>0</v>
      </c>
      <c r="AS26" s="228">
        <f t="shared" ref="AS26" si="73">C26</f>
        <v>5</v>
      </c>
      <c r="AT26" s="228">
        <f t="shared" ref="AT26" si="74">H26</f>
        <v>3.1909090909090909</v>
      </c>
      <c r="AU26" s="228">
        <f t="shared" ref="AU26" si="75">E26</f>
        <v>2</v>
      </c>
      <c r="AV26" s="228">
        <f t="shared" ref="AV26" si="76">D26</f>
        <v>2.5954545454545457</v>
      </c>
      <c r="AW26" s="228">
        <f t="shared" ref="AW26" si="77">F26</f>
        <v>0</v>
      </c>
      <c r="AX26" s="228">
        <f t="shared" ref="AX26" si="78">G26</f>
        <v>0</v>
      </c>
      <c r="AY26" s="228">
        <f t="shared" ref="AY26" si="79">I26</f>
        <v>756.11363636363626</v>
      </c>
    </row>
    <row r="27" spans="1:51" s="229" customFormat="1" ht="15" customHeight="1">
      <c r="A27" s="122"/>
      <c r="B27" s="113"/>
      <c r="C27" s="116"/>
      <c r="D27" s="116"/>
      <c r="E27" s="116"/>
      <c r="F27" s="116"/>
      <c r="G27" s="116"/>
      <c r="H27" s="116"/>
      <c r="I27" s="116"/>
      <c r="J27" s="92" t="s">
        <v>57</v>
      </c>
      <c r="K27" s="92">
        <v>10</v>
      </c>
      <c r="L27" s="145" t="str">
        <f t="shared" ref="L27:L28" si="80">IF(K27,"公斤","")</f>
        <v>公斤</v>
      </c>
      <c r="M27" s="140" t="s">
        <v>500</v>
      </c>
      <c r="N27" s="92">
        <v>1.2</v>
      </c>
      <c r="O27" s="145" t="str">
        <f t="shared" ref="O27" si="81">IF(N27,"公斤","")</f>
        <v>公斤</v>
      </c>
      <c r="P27" s="92" t="s">
        <v>103</v>
      </c>
      <c r="Q27" s="92">
        <v>2.7</v>
      </c>
      <c r="R27" s="145" t="str">
        <f t="shared" ref="R27" si="82">IF(Q27,"公斤","")</f>
        <v>公斤</v>
      </c>
      <c r="S27" s="92" t="s">
        <v>104</v>
      </c>
      <c r="T27" s="92">
        <v>0.01</v>
      </c>
      <c r="U27" s="145" t="str">
        <f t="shared" ref="U27" si="83">IF(T27,"公斤","")</f>
        <v>公斤</v>
      </c>
      <c r="V27" s="92" t="s">
        <v>48</v>
      </c>
      <c r="W27" s="92">
        <v>7</v>
      </c>
      <c r="X27" s="145" t="str">
        <f t="shared" ref="X27" si="84">IF(W27,"公斤","")</f>
        <v>公斤</v>
      </c>
      <c r="Y27" s="140" t="s">
        <v>494</v>
      </c>
      <c r="Z27" s="92">
        <v>3</v>
      </c>
      <c r="AA27" s="145" t="str">
        <f t="shared" ref="AA27" si="85">IF(Z27,"公斤","")</f>
        <v>公斤</v>
      </c>
      <c r="AB27" s="94" t="s">
        <v>283</v>
      </c>
      <c r="AC27" s="233"/>
      <c r="AD27" s="231"/>
      <c r="AE27" s="231"/>
      <c r="AF27" s="5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</row>
    <row r="28" spans="1:51" s="229" customFormat="1" ht="15" customHeight="1">
      <c r="A28" s="122"/>
      <c r="B28" s="217" t="s">
        <v>557</v>
      </c>
      <c r="C28" s="217">
        <f>C26</f>
        <v>5</v>
      </c>
      <c r="D28" s="217">
        <f>(E28+H28)/2</f>
        <v>2.0954545454545457</v>
      </c>
      <c r="E28" s="217">
        <f t="shared" ref="E28:G28" si="86">E26</f>
        <v>2</v>
      </c>
      <c r="F28" s="217">
        <f t="shared" si="86"/>
        <v>0</v>
      </c>
      <c r="G28" s="217">
        <f t="shared" si="86"/>
        <v>0</v>
      </c>
      <c r="H28" s="217">
        <f>H26-T28/4</f>
        <v>2.1909090909090909</v>
      </c>
      <c r="I28" s="217">
        <f>C28*70+D28*45+E28*25+H28*75+G28*60+F28*150</f>
        <v>658.61363636363637</v>
      </c>
      <c r="J28" s="92"/>
      <c r="K28" s="92"/>
      <c r="L28" s="145" t="str">
        <f t="shared" si="80"/>
        <v/>
      </c>
      <c r="M28" s="92" t="s">
        <v>55</v>
      </c>
      <c r="N28" s="92">
        <v>3</v>
      </c>
      <c r="O28" s="145" t="str">
        <f t="shared" si="27"/>
        <v>公斤</v>
      </c>
      <c r="P28" s="92" t="s">
        <v>105</v>
      </c>
      <c r="Q28" s="92">
        <v>5</v>
      </c>
      <c r="R28" s="145" t="str">
        <f t="shared" si="28"/>
        <v>公斤</v>
      </c>
      <c r="S28" s="92" t="s">
        <v>106</v>
      </c>
      <c r="T28" s="92">
        <v>4</v>
      </c>
      <c r="U28" s="145" t="str">
        <f t="shared" si="29"/>
        <v>公斤</v>
      </c>
      <c r="V28" s="92" t="s">
        <v>64</v>
      </c>
      <c r="W28" s="92">
        <v>0.05</v>
      </c>
      <c r="X28" s="145" t="str">
        <f t="shared" si="30"/>
        <v>公斤</v>
      </c>
      <c r="Y28" s="92" t="s">
        <v>64</v>
      </c>
      <c r="Z28" s="92">
        <v>0.05</v>
      </c>
      <c r="AA28" s="145" t="str">
        <f t="shared" si="31"/>
        <v>公斤</v>
      </c>
      <c r="AB28" s="94"/>
      <c r="AC28" s="233"/>
      <c r="AD28" s="231"/>
      <c r="AE28" s="231"/>
      <c r="AF28" s="5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</row>
    <row r="29" spans="1:51" s="229" customFormat="1" ht="15" customHeight="1">
      <c r="A29" s="122"/>
      <c r="B29" s="113"/>
      <c r="C29" s="116"/>
      <c r="D29" s="116"/>
      <c r="E29" s="116"/>
      <c r="F29" s="116"/>
      <c r="G29" s="116"/>
      <c r="H29" s="116"/>
      <c r="I29" s="116"/>
      <c r="J29" s="92"/>
      <c r="K29" s="92"/>
      <c r="L29" s="145" t="str">
        <f t="shared" si="26"/>
        <v/>
      </c>
      <c r="M29" s="92" t="s">
        <v>58</v>
      </c>
      <c r="N29" s="92">
        <v>1</v>
      </c>
      <c r="O29" s="145" t="str">
        <f t="shared" si="27"/>
        <v>公斤</v>
      </c>
      <c r="P29" s="92" t="s">
        <v>58</v>
      </c>
      <c r="Q29" s="92">
        <v>0.5</v>
      </c>
      <c r="R29" s="145" t="str">
        <f t="shared" si="28"/>
        <v>公斤</v>
      </c>
      <c r="S29" s="92" t="s">
        <v>64</v>
      </c>
      <c r="T29" s="92">
        <v>0.05</v>
      </c>
      <c r="U29" s="145" t="str">
        <f t="shared" si="29"/>
        <v>公斤</v>
      </c>
      <c r="V29" s="92"/>
      <c r="W29" s="92"/>
      <c r="X29" s="145" t="str">
        <f t="shared" si="30"/>
        <v/>
      </c>
      <c r="Y29" s="92" t="s">
        <v>107</v>
      </c>
      <c r="Z29" s="92"/>
      <c r="AA29" s="145" t="str">
        <f t="shared" si="31"/>
        <v/>
      </c>
      <c r="AB29" s="232"/>
      <c r="AC29" s="233"/>
      <c r="AD29" s="231"/>
      <c r="AE29" s="231"/>
      <c r="AF29" s="5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</row>
    <row r="30" spans="1:51" s="229" customFormat="1" ht="15" customHeight="1">
      <c r="A30" s="122"/>
      <c r="B30" s="113"/>
      <c r="C30" s="116"/>
      <c r="D30" s="116"/>
      <c r="E30" s="116"/>
      <c r="F30" s="116"/>
      <c r="G30" s="116"/>
      <c r="H30" s="116"/>
      <c r="I30" s="116"/>
      <c r="J30" s="92"/>
      <c r="K30" s="92"/>
      <c r="L30" s="145" t="str">
        <f t="shared" si="26"/>
        <v/>
      </c>
      <c r="M30" s="92" t="s">
        <v>108</v>
      </c>
      <c r="N30" s="92">
        <v>1</v>
      </c>
      <c r="O30" s="145" t="str">
        <f t="shared" si="27"/>
        <v>公斤</v>
      </c>
      <c r="P30" s="92" t="s">
        <v>64</v>
      </c>
      <c r="Q30" s="92">
        <v>0.05</v>
      </c>
      <c r="R30" s="145" t="str">
        <f t="shared" si="28"/>
        <v>公斤</v>
      </c>
      <c r="S30" s="92" t="s">
        <v>109</v>
      </c>
      <c r="T30" s="92"/>
      <c r="U30" s="145" t="str">
        <f t="shared" si="29"/>
        <v/>
      </c>
      <c r="V30" s="92"/>
      <c r="W30" s="92"/>
      <c r="X30" s="145" t="str">
        <f t="shared" si="30"/>
        <v/>
      </c>
      <c r="Y30" s="92" t="s">
        <v>97</v>
      </c>
      <c r="Z30" s="92">
        <v>0.5</v>
      </c>
      <c r="AA30" s="145" t="str">
        <f t="shared" si="31"/>
        <v>公斤</v>
      </c>
      <c r="AB30" s="232"/>
      <c r="AC30" s="233"/>
      <c r="AD30" s="231"/>
      <c r="AE30" s="231"/>
      <c r="AF30" s="5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</row>
    <row r="31" spans="1:51" s="229" customFormat="1" ht="15" customHeight="1">
      <c r="A31" s="122"/>
      <c r="B31" s="113"/>
      <c r="C31" s="116"/>
      <c r="D31" s="116"/>
      <c r="E31" s="116"/>
      <c r="F31" s="116"/>
      <c r="G31" s="116"/>
      <c r="H31" s="116"/>
      <c r="I31" s="116"/>
      <c r="J31" s="92"/>
      <c r="K31" s="92"/>
      <c r="L31" s="145" t="str">
        <f t="shared" si="26"/>
        <v/>
      </c>
      <c r="M31" s="92" t="s">
        <v>64</v>
      </c>
      <c r="N31" s="92">
        <v>0.05</v>
      </c>
      <c r="O31" s="145" t="str">
        <f t="shared" si="27"/>
        <v>公斤</v>
      </c>
      <c r="P31" s="92" t="s">
        <v>110</v>
      </c>
      <c r="Q31" s="92">
        <v>2</v>
      </c>
      <c r="R31" s="145" t="str">
        <f t="shared" si="28"/>
        <v>公斤</v>
      </c>
      <c r="S31" s="92"/>
      <c r="T31" s="92"/>
      <c r="U31" s="145" t="str">
        <f t="shared" si="29"/>
        <v/>
      </c>
      <c r="V31" s="92"/>
      <c r="W31" s="92"/>
      <c r="X31" s="145" t="str">
        <f t="shared" si="30"/>
        <v/>
      </c>
      <c r="Y31" s="92"/>
      <c r="Z31" s="92"/>
      <c r="AA31" s="145" t="str">
        <f t="shared" si="31"/>
        <v/>
      </c>
      <c r="AB31" s="232"/>
      <c r="AC31" s="233"/>
      <c r="AD31" s="231"/>
      <c r="AE31" s="231"/>
      <c r="AF31" s="5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</row>
    <row r="32" spans="1:51" s="229" customFormat="1" ht="15" customHeight="1" thickBot="1">
      <c r="A32" s="123"/>
      <c r="B32" s="115"/>
      <c r="C32" s="117"/>
      <c r="D32" s="117"/>
      <c r="E32" s="117"/>
      <c r="F32" s="117"/>
      <c r="G32" s="117"/>
      <c r="H32" s="117"/>
      <c r="I32" s="117"/>
      <c r="J32" s="109"/>
      <c r="K32" s="109"/>
      <c r="L32" s="145" t="str">
        <f t="shared" si="26"/>
        <v/>
      </c>
      <c r="M32" s="109"/>
      <c r="N32" s="109"/>
      <c r="O32" s="145" t="str">
        <f t="shared" si="27"/>
        <v/>
      </c>
      <c r="P32" s="109"/>
      <c r="Q32" s="109"/>
      <c r="R32" s="145" t="str">
        <f t="shared" si="28"/>
        <v/>
      </c>
      <c r="S32" s="109"/>
      <c r="T32" s="109"/>
      <c r="U32" s="145" t="str">
        <f t="shared" si="29"/>
        <v/>
      </c>
      <c r="V32" s="109"/>
      <c r="W32" s="109"/>
      <c r="X32" s="145" t="str">
        <f t="shared" si="30"/>
        <v/>
      </c>
      <c r="Y32" s="109"/>
      <c r="Z32" s="109"/>
      <c r="AA32" s="145" t="str">
        <f t="shared" si="31"/>
        <v/>
      </c>
      <c r="AB32" s="234"/>
      <c r="AC32" s="235"/>
      <c r="AD32" s="231"/>
      <c r="AE32" s="231"/>
      <c r="AF32" s="5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</row>
    <row r="33" spans="1:51" s="229" customFormat="1" ht="15" customHeight="1">
      <c r="A33" s="111" t="s">
        <v>5</v>
      </c>
      <c r="B33" s="114" t="s">
        <v>276</v>
      </c>
      <c r="C33" s="112">
        <f>K34/2+K35/2+T35/9</f>
        <v>5.2</v>
      </c>
      <c r="D33" s="112">
        <f>(E33+H33)/2</f>
        <v>2.3462499999999999</v>
      </c>
      <c r="E33" s="112">
        <f>(Q35+T34+W34+Z36+Z34*8+T36)/10</f>
        <v>2.13</v>
      </c>
      <c r="F33" s="112">
        <v>0</v>
      </c>
      <c r="G33" s="112">
        <v>0</v>
      </c>
      <c r="H33" s="112">
        <f>N34/3+Q34/8</f>
        <v>2.5625</v>
      </c>
      <c r="I33" s="112">
        <f>C33*70+D33*45+E33*25+H33*75+G33*60+F33*150</f>
        <v>715.01874999999995</v>
      </c>
      <c r="J33" s="288" t="s">
        <v>71</v>
      </c>
      <c r="K33" s="289"/>
      <c r="L33" s="66"/>
      <c r="M33" s="237" t="s">
        <v>454</v>
      </c>
      <c r="N33" s="238"/>
      <c r="O33" s="66"/>
      <c r="P33" s="237" t="s">
        <v>327</v>
      </c>
      <c r="Q33" s="238"/>
      <c r="R33" s="66"/>
      <c r="S33" s="237" t="s">
        <v>111</v>
      </c>
      <c r="T33" s="238"/>
      <c r="U33" s="66"/>
      <c r="V33" s="288" t="s">
        <v>55</v>
      </c>
      <c r="W33" s="289"/>
      <c r="X33" s="66"/>
      <c r="Y33" s="288" t="s">
        <v>112</v>
      </c>
      <c r="Z33" s="289"/>
      <c r="AA33" s="66"/>
      <c r="AB33" s="237" t="s">
        <v>283</v>
      </c>
      <c r="AC33" s="239"/>
      <c r="AD33" s="51" t="str">
        <f t="shared" ref="AD33" si="87">A33</f>
        <v>B2</v>
      </c>
      <c r="AE33" s="51" t="str">
        <f t="shared" ref="AE33" si="88">J33</f>
        <v>糙米飯</v>
      </c>
      <c r="AF33" s="51" t="str">
        <f t="shared" ref="AF33" si="89">J34&amp;" "&amp;J35&amp;" "&amp;J36&amp;" "&amp;J37&amp;" "&amp;J38&amp;" "&amp;J39</f>
        <v xml:space="preserve">米 糙米    </v>
      </c>
      <c r="AG33" s="51" t="str">
        <f t="shared" ref="AG33" si="90">M33</f>
        <v>香滷豆包</v>
      </c>
      <c r="AH33" s="51" t="str">
        <f t="shared" ref="AH33" si="91">M34&amp;" "&amp;M35&amp;" "&amp;M36&amp;" "&amp;M37&amp;" "&amp;M38&amp;" "&amp;M39</f>
        <v xml:space="preserve">豆包 滷包    </v>
      </c>
      <c r="AI33" s="51" t="str">
        <f t="shared" ref="AI33" si="92">P33</f>
        <v>番茄凍腐</v>
      </c>
      <c r="AJ33" s="51" t="str">
        <f t="shared" ref="AJ33" si="93">P34&amp;" "&amp;P35&amp;" "&amp;P36&amp;" "&amp;P37&amp;" "&amp;P38&amp;" "&amp;P39</f>
        <v xml:space="preserve">凍豆腐 大番茄 薑   </v>
      </c>
      <c r="AK33" s="51" t="str">
        <f t="shared" ref="AK33" si="94">S33</f>
        <v>田園花椰</v>
      </c>
      <c r="AL33" s="51" t="str">
        <f t="shared" ref="AL33" si="95">S34&amp;" "&amp;S35&amp;" "&amp;S36&amp;" "&amp;S37&amp;" "&amp;S38&amp;" "&amp;S39</f>
        <v xml:space="preserve">冷凍花椰菜 馬鈴薯 胡蘿蔔 薑  </v>
      </c>
      <c r="AM33" s="51" t="str">
        <f t="shared" ref="AM33" si="96">V33</f>
        <v>時蔬</v>
      </c>
      <c r="AN33" s="51" t="str">
        <f t="shared" ref="AN33" si="97">V34&amp;" "&amp;V35&amp;" "&amp;V36&amp;" "&amp;V37&amp;" "&amp;V38&amp;" "&amp;V39</f>
        <v xml:space="preserve">蔬菜 薑    </v>
      </c>
      <c r="AO33" s="51" t="str">
        <f t="shared" ref="AO33" si="98">Y33</f>
        <v>味噌海芽湯</v>
      </c>
      <c r="AP33" s="51" t="str">
        <f t="shared" ref="AP33" si="99">Y34&amp;" "&amp;Y35&amp;" "&amp;Y36&amp;" "&amp;Y37&amp;" "&amp;Y38&amp;" "&amp;Y39</f>
        <v xml:space="preserve">乾裙帶菜 味噌 白蘿蔔 薑  </v>
      </c>
      <c r="AQ33" s="51" t="str">
        <f>AB33</f>
        <v>點心</v>
      </c>
      <c r="AR33" s="51">
        <f>AC33</f>
        <v>0</v>
      </c>
      <c r="AS33" s="228">
        <f t="shared" ref="AS33" si="100">C33</f>
        <v>5.2</v>
      </c>
      <c r="AT33" s="228">
        <f t="shared" ref="AT33" si="101">H33</f>
        <v>2.5625</v>
      </c>
      <c r="AU33" s="228">
        <f t="shared" ref="AU33" si="102">E33</f>
        <v>2.13</v>
      </c>
      <c r="AV33" s="228">
        <f t="shared" ref="AV33" si="103">D33</f>
        <v>2.3462499999999999</v>
      </c>
      <c r="AW33" s="228">
        <f t="shared" ref="AW33" si="104">F33</f>
        <v>0</v>
      </c>
      <c r="AX33" s="228">
        <f t="shared" ref="AX33" si="105">G33</f>
        <v>0</v>
      </c>
      <c r="AY33" s="228">
        <f t="shared" ref="AY33" si="106">I33</f>
        <v>715.01874999999995</v>
      </c>
    </row>
    <row r="34" spans="1:51" s="229" customFormat="1" ht="15" customHeight="1">
      <c r="A34" s="241"/>
      <c r="B34" s="113"/>
      <c r="C34" s="116"/>
      <c r="D34" s="116"/>
      <c r="E34" s="116"/>
      <c r="F34" s="116"/>
      <c r="G34" s="116"/>
      <c r="H34" s="116"/>
      <c r="I34" s="116"/>
      <c r="J34" s="92" t="s">
        <v>57</v>
      </c>
      <c r="K34" s="92">
        <v>7</v>
      </c>
      <c r="L34" s="145" t="str">
        <f t="shared" ref="L34:L35" si="107">IF(K34,"公斤","")</f>
        <v>公斤</v>
      </c>
      <c r="M34" s="94" t="s">
        <v>368</v>
      </c>
      <c r="N34" s="94">
        <v>6</v>
      </c>
      <c r="O34" s="145" t="str">
        <f t="shared" ref="O34" si="108">IF(N34,"公斤","")</f>
        <v>公斤</v>
      </c>
      <c r="P34" s="94" t="s">
        <v>330</v>
      </c>
      <c r="Q34" s="94">
        <v>4.5</v>
      </c>
      <c r="R34" s="145" t="str">
        <f t="shared" ref="R34" si="109">IF(Q34,"公斤","")</f>
        <v>公斤</v>
      </c>
      <c r="S34" s="94" t="s">
        <v>113</v>
      </c>
      <c r="T34" s="94">
        <v>6</v>
      </c>
      <c r="U34" s="145" t="str">
        <f t="shared" ref="U34" si="110">IF(T34,"公斤","")</f>
        <v>公斤</v>
      </c>
      <c r="V34" s="92" t="s">
        <v>48</v>
      </c>
      <c r="W34" s="92">
        <v>7</v>
      </c>
      <c r="X34" s="145" t="str">
        <f t="shared" ref="X34" si="111">IF(W34,"公斤","")</f>
        <v>公斤</v>
      </c>
      <c r="Y34" s="92" t="s">
        <v>114</v>
      </c>
      <c r="Z34" s="92">
        <v>0.1</v>
      </c>
      <c r="AA34" s="145" t="str">
        <f t="shared" ref="AA34" si="112">IF(Z34,"公斤","")</f>
        <v>公斤</v>
      </c>
      <c r="AB34" s="94" t="s">
        <v>283</v>
      </c>
      <c r="AC34" s="233"/>
      <c r="AD34" s="231"/>
      <c r="AE34" s="231"/>
      <c r="AF34" s="5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</row>
    <row r="35" spans="1:51" s="229" customFormat="1" ht="15" customHeight="1">
      <c r="A35" s="241"/>
      <c r="B35" s="217" t="s">
        <v>557</v>
      </c>
      <c r="C35" s="217">
        <f>C33-T35/9</f>
        <v>5</v>
      </c>
      <c r="D35" s="217">
        <f>(E35+H35)/2</f>
        <v>2.0212500000000002</v>
      </c>
      <c r="E35" s="217">
        <f>E33-(T34+T36)/10</f>
        <v>1.48</v>
      </c>
      <c r="F35" s="217">
        <f t="shared" ref="F35:H35" si="113">F33</f>
        <v>0</v>
      </c>
      <c r="G35" s="217">
        <f t="shared" si="113"/>
        <v>0</v>
      </c>
      <c r="H35" s="217">
        <f t="shared" si="113"/>
        <v>2.5625</v>
      </c>
      <c r="I35" s="217">
        <f>C35*70+D35*45+E35*25+H35*75+G35*60+F35*150</f>
        <v>670.14374999999995</v>
      </c>
      <c r="J35" s="92" t="s">
        <v>61</v>
      </c>
      <c r="K35" s="92">
        <v>3</v>
      </c>
      <c r="L35" s="145" t="str">
        <f t="shared" si="107"/>
        <v>公斤</v>
      </c>
      <c r="M35" s="94" t="s">
        <v>325</v>
      </c>
      <c r="N35" s="94"/>
      <c r="O35" s="145" t="str">
        <f t="shared" si="27"/>
        <v/>
      </c>
      <c r="P35" s="94" t="s">
        <v>115</v>
      </c>
      <c r="Q35" s="94">
        <v>2.5</v>
      </c>
      <c r="R35" s="145" t="str">
        <f t="shared" si="28"/>
        <v>公斤</v>
      </c>
      <c r="S35" s="94" t="s">
        <v>31</v>
      </c>
      <c r="T35" s="94">
        <v>1.8</v>
      </c>
      <c r="U35" s="145" t="str">
        <f t="shared" si="29"/>
        <v>公斤</v>
      </c>
      <c r="V35" s="92" t="s">
        <v>64</v>
      </c>
      <c r="W35" s="92">
        <v>0.05</v>
      </c>
      <c r="X35" s="145" t="str">
        <f t="shared" si="30"/>
        <v>公斤</v>
      </c>
      <c r="Y35" s="92" t="s">
        <v>116</v>
      </c>
      <c r="Z35" s="92">
        <v>0.6</v>
      </c>
      <c r="AA35" s="145" t="str">
        <f t="shared" si="31"/>
        <v>公斤</v>
      </c>
      <c r="AB35" s="94"/>
      <c r="AC35" s="233"/>
      <c r="AD35" s="231"/>
      <c r="AE35" s="231"/>
      <c r="AF35" s="5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</row>
    <row r="36" spans="1:51" s="229" customFormat="1" ht="15" customHeight="1">
      <c r="A36" s="241"/>
      <c r="B36" s="113"/>
      <c r="C36" s="116"/>
      <c r="D36" s="116"/>
      <c r="E36" s="116"/>
      <c r="F36" s="116"/>
      <c r="G36" s="116"/>
      <c r="H36" s="116"/>
      <c r="I36" s="116"/>
      <c r="J36" s="92"/>
      <c r="K36" s="92"/>
      <c r="L36" s="145" t="str">
        <f t="shared" si="26"/>
        <v/>
      </c>
      <c r="M36" s="232"/>
      <c r="N36" s="94"/>
      <c r="O36" s="145" t="str">
        <f t="shared" si="27"/>
        <v/>
      </c>
      <c r="P36" s="94" t="s">
        <v>117</v>
      </c>
      <c r="Q36" s="94">
        <v>0.05</v>
      </c>
      <c r="R36" s="145" t="str">
        <f t="shared" si="28"/>
        <v>公斤</v>
      </c>
      <c r="S36" s="94" t="s">
        <v>8</v>
      </c>
      <c r="T36" s="94">
        <v>0.5</v>
      </c>
      <c r="U36" s="145" t="str">
        <f t="shared" si="29"/>
        <v>公斤</v>
      </c>
      <c r="V36" s="92"/>
      <c r="W36" s="92"/>
      <c r="X36" s="145" t="str">
        <f t="shared" si="30"/>
        <v/>
      </c>
      <c r="Y36" s="92" t="s">
        <v>65</v>
      </c>
      <c r="Z36" s="92">
        <v>4.5</v>
      </c>
      <c r="AA36" s="145" t="str">
        <f t="shared" si="31"/>
        <v>公斤</v>
      </c>
      <c r="AB36" s="232"/>
      <c r="AC36" s="233"/>
      <c r="AD36" s="231"/>
      <c r="AE36" s="231"/>
      <c r="AF36" s="5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</row>
    <row r="37" spans="1:51" s="229" customFormat="1" ht="15" customHeight="1">
      <c r="A37" s="241"/>
      <c r="B37" s="113"/>
      <c r="C37" s="116"/>
      <c r="D37" s="116"/>
      <c r="E37" s="116"/>
      <c r="F37" s="116"/>
      <c r="G37" s="116"/>
      <c r="H37" s="116"/>
      <c r="I37" s="116"/>
      <c r="J37" s="92"/>
      <c r="K37" s="92"/>
      <c r="L37" s="145" t="str">
        <f t="shared" si="26"/>
        <v/>
      </c>
      <c r="M37" s="232"/>
      <c r="N37" s="94"/>
      <c r="O37" s="145" t="str">
        <f t="shared" si="27"/>
        <v/>
      </c>
      <c r="P37" s="94"/>
      <c r="Q37" s="94"/>
      <c r="R37" s="145" t="str">
        <f t="shared" si="28"/>
        <v/>
      </c>
      <c r="S37" s="94" t="s">
        <v>117</v>
      </c>
      <c r="T37" s="94">
        <v>0.05</v>
      </c>
      <c r="U37" s="145" t="str">
        <f t="shared" si="29"/>
        <v>公斤</v>
      </c>
      <c r="V37" s="92"/>
      <c r="W37" s="92"/>
      <c r="X37" s="145" t="str">
        <f t="shared" si="30"/>
        <v/>
      </c>
      <c r="Y37" s="92" t="s">
        <v>64</v>
      </c>
      <c r="Z37" s="92">
        <v>0.05</v>
      </c>
      <c r="AA37" s="145" t="str">
        <f t="shared" si="31"/>
        <v>公斤</v>
      </c>
      <c r="AB37" s="232"/>
      <c r="AC37" s="233"/>
      <c r="AD37" s="231"/>
      <c r="AE37" s="231"/>
      <c r="AF37" s="5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</row>
    <row r="38" spans="1:51" s="229" customFormat="1" ht="15" customHeight="1">
      <c r="A38" s="241"/>
      <c r="B38" s="113"/>
      <c r="C38" s="116"/>
      <c r="D38" s="116"/>
      <c r="E38" s="116"/>
      <c r="F38" s="116"/>
      <c r="G38" s="116"/>
      <c r="H38" s="116"/>
      <c r="I38" s="116"/>
      <c r="J38" s="92"/>
      <c r="K38" s="92"/>
      <c r="L38" s="145" t="str">
        <f t="shared" si="26"/>
        <v/>
      </c>
      <c r="M38" s="232"/>
      <c r="N38" s="94"/>
      <c r="O38" s="145" t="str">
        <f t="shared" si="27"/>
        <v/>
      </c>
      <c r="P38" s="94"/>
      <c r="Q38" s="94"/>
      <c r="R38" s="145" t="str">
        <f t="shared" si="28"/>
        <v/>
      </c>
      <c r="S38" s="232"/>
      <c r="T38" s="232"/>
      <c r="U38" s="145" t="str">
        <f t="shared" si="29"/>
        <v/>
      </c>
      <c r="V38" s="92"/>
      <c r="W38" s="92"/>
      <c r="X38" s="145" t="str">
        <f t="shared" si="30"/>
        <v/>
      </c>
      <c r="Y38" s="92"/>
      <c r="Z38" s="92"/>
      <c r="AA38" s="145" t="str">
        <f t="shared" si="31"/>
        <v/>
      </c>
      <c r="AB38" s="232"/>
      <c r="AC38" s="233"/>
      <c r="AD38" s="231"/>
      <c r="AE38" s="231"/>
      <c r="AF38" s="5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</row>
    <row r="39" spans="1:51" s="229" customFormat="1" ht="15" customHeight="1" thickBot="1">
      <c r="A39" s="242"/>
      <c r="B39" s="115"/>
      <c r="C39" s="117"/>
      <c r="D39" s="117"/>
      <c r="E39" s="117"/>
      <c r="F39" s="117"/>
      <c r="G39" s="117"/>
      <c r="H39" s="117"/>
      <c r="I39" s="117"/>
      <c r="J39" s="109"/>
      <c r="K39" s="109"/>
      <c r="L39" s="145" t="str">
        <f t="shared" si="26"/>
        <v/>
      </c>
      <c r="M39" s="234"/>
      <c r="N39" s="234"/>
      <c r="O39" s="145" t="str">
        <f t="shared" si="27"/>
        <v/>
      </c>
      <c r="P39" s="234"/>
      <c r="Q39" s="234"/>
      <c r="R39" s="145" t="str">
        <f t="shared" si="28"/>
        <v/>
      </c>
      <c r="S39" s="234"/>
      <c r="T39" s="234"/>
      <c r="U39" s="145" t="str">
        <f t="shared" si="29"/>
        <v/>
      </c>
      <c r="V39" s="109"/>
      <c r="W39" s="109"/>
      <c r="X39" s="145" t="str">
        <f t="shared" si="30"/>
        <v/>
      </c>
      <c r="Y39" s="109"/>
      <c r="Z39" s="109"/>
      <c r="AA39" s="145" t="str">
        <f t="shared" si="31"/>
        <v/>
      </c>
      <c r="AB39" s="234"/>
      <c r="AC39" s="235"/>
      <c r="AD39" s="231"/>
      <c r="AE39" s="231"/>
      <c r="AF39" s="5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</row>
    <row r="40" spans="1:51" s="229" customFormat="1" ht="15" customHeight="1">
      <c r="A40" s="111" t="s">
        <v>10</v>
      </c>
      <c r="B40" s="114" t="s">
        <v>276</v>
      </c>
      <c r="C40" s="112">
        <f>K41/3</f>
        <v>2</v>
      </c>
      <c r="D40" s="112">
        <f>(E40+H40)/2</f>
        <v>2.3050000000000002</v>
      </c>
      <c r="E40" s="112">
        <f>(N42+N44++Q41+W41+Z41+Z42)/10</f>
        <v>2.0100000000000002</v>
      </c>
      <c r="F40" s="112">
        <v>0</v>
      </c>
      <c r="G40" s="112">
        <v>0</v>
      </c>
      <c r="H40" s="112">
        <f>H42+T41/5</f>
        <v>2.6</v>
      </c>
      <c r="I40" s="112">
        <f>C40*70+D40*45+E40*25+H40*75+G40*60+F40*150</f>
        <v>488.97500000000002</v>
      </c>
      <c r="J40" s="138" t="s">
        <v>509</v>
      </c>
      <c r="K40" s="78"/>
      <c r="L40" s="66"/>
      <c r="M40" s="290" t="s">
        <v>510</v>
      </c>
      <c r="N40" s="291"/>
      <c r="O40" s="66"/>
      <c r="P40" s="288" t="s">
        <v>118</v>
      </c>
      <c r="Q40" s="289"/>
      <c r="R40" s="66"/>
      <c r="S40" s="288" t="s">
        <v>119</v>
      </c>
      <c r="T40" s="289"/>
      <c r="U40" s="66"/>
      <c r="V40" s="288" t="s">
        <v>55</v>
      </c>
      <c r="W40" s="289"/>
      <c r="X40" s="66"/>
      <c r="Y40" s="290" t="s">
        <v>511</v>
      </c>
      <c r="Z40" s="291"/>
      <c r="AA40" s="66"/>
      <c r="AB40" s="237" t="s">
        <v>283</v>
      </c>
      <c r="AC40" s="239"/>
      <c r="AD40" s="51" t="str">
        <f t="shared" ref="AD40" si="114">A40</f>
        <v>B3</v>
      </c>
      <c r="AE40" s="51" t="str">
        <f t="shared" ref="AE40" si="115">J40</f>
        <v>越式特餐</v>
      </c>
      <c r="AF40" s="51" t="str">
        <f t="shared" ref="AF40" si="116">J41&amp;" "&amp;J42&amp;" "&amp;J43&amp;" "&amp;J44&amp;" "&amp;J45&amp;" "&amp;J46</f>
        <v xml:space="preserve">米粉     </v>
      </c>
      <c r="AG40" s="51" t="str">
        <f t="shared" ref="AG40" si="117">M40</f>
        <v>特餐配料</v>
      </c>
      <c r="AH40" s="51" t="str">
        <f t="shared" ref="AH40" si="118">M41&amp;" "&amp;M42&amp;" "&amp;M43&amp;" "&amp;M44&amp;" "&amp;M45&amp;" "&amp;M46</f>
        <v xml:space="preserve">百頁豆腐 甘藍 薑 九層塔  </v>
      </c>
      <c r="AI40" s="51" t="str">
        <f t="shared" ref="AI40" si="119">P40</f>
        <v>豆包豆芽</v>
      </c>
      <c r="AJ40" s="51" t="str">
        <f t="shared" ref="AJ40" si="120">P41&amp;" "&amp;P42&amp;" "&amp;P43&amp;" "&amp;P44&amp;" "&amp;P45&amp;" "&amp;P46</f>
        <v xml:space="preserve">綠豆芽 豆包 薑   </v>
      </c>
      <c r="AK40" s="51" t="str">
        <f t="shared" ref="AK40" si="121">S40</f>
        <v>香檸素丸</v>
      </c>
      <c r="AL40" s="51" t="str">
        <f t="shared" ref="AL40" si="122">S41&amp;" "&amp;S42&amp;" "&amp;S43&amp;" "&amp;S44&amp;" "&amp;S45&amp;" "&amp;S46</f>
        <v xml:space="preserve">素丸     </v>
      </c>
      <c r="AM40" s="51" t="str">
        <f t="shared" ref="AM40" si="123">V40</f>
        <v>時蔬</v>
      </c>
      <c r="AN40" s="51" t="str">
        <f t="shared" ref="AN40" si="124">V41&amp;" "&amp;V42&amp;" "&amp;V43&amp;" "&amp;V44&amp;" "&amp;V45&amp;" "&amp;V46</f>
        <v xml:space="preserve">蔬菜 薑    </v>
      </c>
      <c r="AO40" s="51" t="str">
        <f t="shared" ref="AO40" si="125">Y40</f>
        <v>越式湯底</v>
      </c>
      <c r="AP40" s="51" t="str">
        <f t="shared" ref="AP40" si="126">Y41&amp;" "&amp;Y42&amp;" "&amp;Y43&amp;" "&amp;Y44&amp;" "&amp;Y45&amp;" "&amp;Y46</f>
        <v xml:space="preserve">白蘿蔔 胡蘿蔔 檸檬汁 南薑  </v>
      </c>
      <c r="AQ40" s="51" t="str">
        <f>AB40</f>
        <v>點心</v>
      </c>
      <c r="AR40" s="51">
        <f>AC40</f>
        <v>0</v>
      </c>
      <c r="AS40" s="228">
        <f t="shared" ref="AS40" si="127">C40</f>
        <v>2</v>
      </c>
      <c r="AT40" s="228">
        <f t="shared" ref="AT40" si="128">H40</f>
        <v>2.6</v>
      </c>
      <c r="AU40" s="228">
        <f t="shared" ref="AU40" si="129">E40</f>
        <v>2.0100000000000002</v>
      </c>
      <c r="AV40" s="228">
        <f t="shared" ref="AV40" si="130">D40</f>
        <v>2.3050000000000002</v>
      </c>
      <c r="AW40" s="228">
        <f t="shared" ref="AW40" si="131">F40</f>
        <v>0</v>
      </c>
      <c r="AX40" s="228">
        <f t="shared" ref="AX40" si="132">G40</f>
        <v>0</v>
      </c>
      <c r="AY40" s="228">
        <f t="shared" ref="AY40" si="133">I40</f>
        <v>488.97500000000002</v>
      </c>
    </row>
    <row r="41" spans="1:51" s="229" customFormat="1" ht="15" customHeight="1">
      <c r="A41" s="241"/>
      <c r="B41" s="113"/>
      <c r="C41" s="116"/>
      <c r="D41" s="116"/>
      <c r="E41" s="116"/>
      <c r="F41" s="116"/>
      <c r="G41" s="116"/>
      <c r="H41" s="116"/>
      <c r="I41" s="116"/>
      <c r="J41" s="143" t="s">
        <v>508</v>
      </c>
      <c r="K41" s="62">
        <v>6</v>
      </c>
      <c r="L41" s="145" t="str">
        <f t="shared" ref="L41:L42" si="134">IF(K41,"公斤","")</f>
        <v>公斤</v>
      </c>
      <c r="M41" s="141" t="s">
        <v>504</v>
      </c>
      <c r="N41" s="92">
        <v>7</v>
      </c>
      <c r="O41" s="145" t="str">
        <f t="shared" ref="O41" si="135">IF(N41,"公斤","")</f>
        <v>公斤</v>
      </c>
      <c r="P41" s="92" t="s">
        <v>120</v>
      </c>
      <c r="Q41" s="92">
        <v>5</v>
      </c>
      <c r="R41" s="145" t="str">
        <f t="shared" ref="R41" si="136">IF(Q41,"公斤","")</f>
        <v>公斤</v>
      </c>
      <c r="S41" s="92" t="s">
        <v>60</v>
      </c>
      <c r="T41" s="92">
        <v>3</v>
      </c>
      <c r="U41" s="145" t="str">
        <f t="shared" ref="U41" si="137">IF(T41,"公斤","")</f>
        <v>公斤</v>
      </c>
      <c r="V41" s="92" t="s">
        <v>48</v>
      </c>
      <c r="W41" s="92">
        <v>7</v>
      </c>
      <c r="X41" s="145" t="str">
        <f t="shared" ref="X41" si="138">IF(W41,"公斤","")</f>
        <v>公斤</v>
      </c>
      <c r="Y41" s="92" t="s">
        <v>65</v>
      </c>
      <c r="Z41" s="92">
        <v>4</v>
      </c>
      <c r="AA41" s="145" t="str">
        <f t="shared" ref="AA41" si="139">IF(Z41,"公斤","")</f>
        <v>公斤</v>
      </c>
      <c r="AB41" s="94" t="s">
        <v>283</v>
      </c>
      <c r="AC41" s="233"/>
      <c r="AD41" s="231"/>
      <c r="AE41" s="231"/>
      <c r="AF41" s="5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</row>
    <row r="42" spans="1:51" s="229" customFormat="1" ht="15" customHeight="1">
      <c r="A42" s="241"/>
      <c r="B42" s="217" t="s">
        <v>557</v>
      </c>
      <c r="C42" s="217">
        <f>C40</f>
        <v>2</v>
      </c>
      <c r="D42" s="217">
        <f>(E42+H42)/2</f>
        <v>2.0049999999999999</v>
      </c>
      <c r="E42" s="217">
        <f t="shared" ref="E42:F42" si="140">E40</f>
        <v>2.0100000000000002</v>
      </c>
      <c r="F42" s="217">
        <f t="shared" si="140"/>
        <v>0</v>
      </c>
      <c r="G42" s="217">
        <v>0</v>
      </c>
      <c r="H42" s="217">
        <v>2</v>
      </c>
      <c r="I42" s="217">
        <f>C42*70+D42*45+E42*25+H42*75+G42*60+F42*150</f>
        <v>430.47500000000002</v>
      </c>
      <c r="J42" s="92"/>
      <c r="K42" s="92"/>
      <c r="L42" s="145" t="str">
        <f t="shared" si="134"/>
        <v/>
      </c>
      <c r="M42" s="92" t="s">
        <v>63</v>
      </c>
      <c r="N42" s="92">
        <v>2</v>
      </c>
      <c r="O42" s="145" t="str">
        <f t="shared" si="27"/>
        <v>公斤</v>
      </c>
      <c r="P42" s="92" t="s">
        <v>69</v>
      </c>
      <c r="Q42" s="92">
        <v>3</v>
      </c>
      <c r="R42" s="145" t="str">
        <f t="shared" si="28"/>
        <v>公斤</v>
      </c>
      <c r="S42" s="92"/>
      <c r="T42" s="92"/>
      <c r="U42" s="145" t="str">
        <f t="shared" si="29"/>
        <v/>
      </c>
      <c r="V42" s="92" t="s">
        <v>64</v>
      </c>
      <c r="W42" s="92">
        <v>0.05</v>
      </c>
      <c r="X42" s="145" t="str">
        <f t="shared" si="30"/>
        <v>公斤</v>
      </c>
      <c r="Y42" s="92" t="s">
        <v>58</v>
      </c>
      <c r="Z42" s="92">
        <v>2</v>
      </c>
      <c r="AA42" s="145" t="str">
        <f t="shared" si="31"/>
        <v>公斤</v>
      </c>
      <c r="AB42" s="94"/>
      <c r="AC42" s="233"/>
      <c r="AD42" s="231"/>
      <c r="AE42" s="231"/>
      <c r="AF42" s="5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</row>
    <row r="43" spans="1:51" s="229" customFormat="1" ht="15" customHeight="1">
      <c r="A43" s="241"/>
      <c r="B43" s="113"/>
      <c r="C43" s="116"/>
      <c r="D43" s="116"/>
      <c r="E43" s="116"/>
      <c r="F43" s="116"/>
      <c r="G43" s="116"/>
      <c r="H43" s="116"/>
      <c r="I43" s="116"/>
      <c r="J43" s="92"/>
      <c r="K43" s="92"/>
      <c r="L43" s="145" t="str">
        <f t="shared" si="26"/>
        <v/>
      </c>
      <c r="M43" s="92" t="s">
        <v>64</v>
      </c>
      <c r="N43" s="92">
        <v>0.05</v>
      </c>
      <c r="O43" s="145" t="str">
        <f t="shared" si="27"/>
        <v>公斤</v>
      </c>
      <c r="P43" s="92" t="s">
        <v>64</v>
      </c>
      <c r="Q43" s="92">
        <v>0.05</v>
      </c>
      <c r="R43" s="145" t="str">
        <f t="shared" si="28"/>
        <v>公斤</v>
      </c>
      <c r="S43" s="92"/>
      <c r="T43" s="92"/>
      <c r="U43" s="145" t="str">
        <f t="shared" si="29"/>
        <v/>
      </c>
      <c r="V43" s="92"/>
      <c r="W43" s="92"/>
      <c r="X43" s="145" t="str">
        <f t="shared" si="30"/>
        <v/>
      </c>
      <c r="Y43" s="92" t="s">
        <v>121</v>
      </c>
      <c r="Z43" s="92">
        <v>0.1</v>
      </c>
      <c r="AA43" s="145" t="str">
        <f t="shared" si="31"/>
        <v>公斤</v>
      </c>
      <c r="AB43" s="232"/>
      <c r="AC43" s="233"/>
      <c r="AD43" s="231"/>
      <c r="AE43" s="231"/>
      <c r="AF43" s="5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</row>
    <row r="44" spans="1:51" s="229" customFormat="1" ht="15" customHeight="1">
      <c r="A44" s="241"/>
      <c r="B44" s="113"/>
      <c r="C44" s="116"/>
      <c r="D44" s="116"/>
      <c r="E44" s="116"/>
      <c r="F44" s="116"/>
      <c r="G44" s="116"/>
      <c r="H44" s="116"/>
      <c r="I44" s="116"/>
      <c r="J44" s="92"/>
      <c r="K44" s="92"/>
      <c r="L44" s="145" t="str">
        <f t="shared" si="26"/>
        <v/>
      </c>
      <c r="M44" s="92" t="s">
        <v>78</v>
      </c>
      <c r="N44" s="92">
        <v>0.1</v>
      </c>
      <c r="O44" s="145" t="str">
        <f t="shared" si="27"/>
        <v>公斤</v>
      </c>
      <c r="P44" s="92"/>
      <c r="Q44" s="92"/>
      <c r="R44" s="145" t="str">
        <f t="shared" si="28"/>
        <v/>
      </c>
      <c r="S44" s="92"/>
      <c r="T44" s="92"/>
      <c r="U44" s="145" t="str">
        <f t="shared" si="29"/>
        <v/>
      </c>
      <c r="V44" s="92"/>
      <c r="W44" s="92"/>
      <c r="X44" s="145" t="str">
        <f t="shared" si="30"/>
        <v/>
      </c>
      <c r="Y44" s="92" t="s">
        <v>122</v>
      </c>
      <c r="Z44" s="92"/>
      <c r="AA44" s="145" t="str">
        <f t="shared" si="31"/>
        <v/>
      </c>
      <c r="AB44" s="232"/>
      <c r="AC44" s="233"/>
      <c r="AD44" s="231"/>
      <c r="AE44" s="231"/>
      <c r="AF44" s="5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</row>
    <row r="45" spans="1:51" s="229" customFormat="1" ht="15" customHeight="1">
      <c r="A45" s="241"/>
      <c r="B45" s="113"/>
      <c r="C45" s="116"/>
      <c r="D45" s="116"/>
      <c r="E45" s="116"/>
      <c r="F45" s="116"/>
      <c r="G45" s="116"/>
      <c r="H45" s="116"/>
      <c r="I45" s="116"/>
      <c r="J45" s="92"/>
      <c r="K45" s="92"/>
      <c r="L45" s="145" t="str">
        <f t="shared" si="26"/>
        <v/>
      </c>
      <c r="M45" s="92"/>
      <c r="N45" s="92"/>
      <c r="O45" s="145" t="str">
        <f t="shared" si="27"/>
        <v/>
      </c>
      <c r="P45" s="92"/>
      <c r="Q45" s="92"/>
      <c r="R45" s="145" t="str">
        <f t="shared" si="28"/>
        <v/>
      </c>
      <c r="S45" s="92"/>
      <c r="T45" s="92"/>
      <c r="U45" s="145" t="str">
        <f t="shared" si="29"/>
        <v/>
      </c>
      <c r="V45" s="92"/>
      <c r="W45" s="92"/>
      <c r="X45" s="145" t="str">
        <f t="shared" si="30"/>
        <v/>
      </c>
      <c r="Y45" s="92"/>
      <c r="Z45" s="92"/>
      <c r="AA45" s="145" t="str">
        <f t="shared" si="31"/>
        <v/>
      </c>
      <c r="AB45" s="232"/>
      <c r="AC45" s="233"/>
      <c r="AD45" s="231"/>
      <c r="AE45" s="231"/>
      <c r="AF45" s="5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</row>
    <row r="46" spans="1:51" s="229" customFormat="1" ht="15" customHeight="1" thickBot="1">
      <c r="A46" s="242"/>
      <c r="B46" s="115"/>
      <c r="C46" s="117"/>
      <c r="D46" s="117"/>
      <c r="E46" s="117"/>
      <c r="F46" s="117"/>
      <c r="G46" s="117"/>
      <c r="H46" s="117"/>
      <c r="I46" s="117"/>
      <c r="J46" s="109"/>
      <c r="K46" s="109"/>
      <c r="L46" s="145" t="str">
        <f t="shared" si="26"/>
        <v/>
      </c>
      <c r="M46" s="109"/>
      <c r="N46" s="109"/>
      <c r="O46" s="145" t="str">
        <f t="shared" si="27"/>
        <v/>
      </c>
      <c r="P46" s="109"/>
      <c r="Q46" s="109"/>
      <c r="R46" s="145" t="str">
        <f t="shared" si="28"/>
        <v/>
      </c>
      <c r="S46" s="109"/>
      <c r="T46" s="109"/>
      <c r="U46" s="145" t="str">
        <f t="shared" si="29"/>
        <v/>
      </c>
      <c r="V46" s="109"/>
      <c r="W46" s="109"/>
      <c r="X46" s="145" t="str">
        <f t="shared" si="30"/>
        <v/>
      </c>
      <c r="Y46" s="109"/>
      <c r="Z46" s="109"/>
      <c r="AA46" s="145" t="str">
        <f t="shared" si="31"/>
        <v/>
      </c>
      <c r="AB46" s="234"/>
      <c r="AC46" s="235"/>
      <c r="AD46" s="231"/>
      <c r="AE46" s="231"/>
      <c r="AF46" s="5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</row>
    <row r="47" spans="1:51" s="229" customFormat="1" ht="15" customHeight="1">
      <c r="A47" s="111" t="s">
        <v>11</v>
      </c>
      <c r="B47" s="114" t="s">
        <v>276</v>
      </c>
      <c r="C47" s="112">
        <f>K48/2+K49/2+Q48/15</f>
        <v>5.08</v>
      </c>
      <c r="D47" s="112">
        <f>(E47+H47)/2</f>
        <v>2.5030303030303029</v>
      </c>
      <c r="E47" s="112">
        <f>E49+T51/10</f>
        <v>1.6500000000000001</v>
      </c>
      <c r="F47" s="112">
        <v>0</v>
      </c>
      <c r="G47" s="112">
        <v>0</v>
      </c>
      <c r="H47" s="112">
        <f>H49+T49/4+T48/5.5</f>
        <v>3.356060606060606</v>
      </c>
      <c r="I47" s="112">
        <f>C47*70+D47*45+E47*25+H47*75+G47*60+F47*150</f>
        <v>761.19090909090914</v>
      </c>
      <c r="J47" s="288" t="s">
        <v>71</v>
      </c>
      <c r="K47" s="289"/>
      <c r="L47" s="66"/>
      <c r="M47" s="288" t="s">
        <v>123</v>
      </c>
      <c r="N47" s="289"/>
      <c r="O47" s="66"/>
      <c r="P47" s="290" t="s">
        <v>513</v>
      </c>
      <c r="Q47" s="291"/>
      <c r="R47" s="66"/>
      <c r="S47" s="195" t="s">
        <v>514</v>
      </c>
      <c r="T47" s="238"/>
      <c r="U47" s="66"/>
      <c r="V47" s="288" t="s">
        <v>55</v>
      </c>
      <c r="W47" s="289"/>
      <c r="X47" s="66"/>
      <c r="Y47" s="288" t="s">
        <v>124</v>
      </c>
      <c r="Z47" s="289"/>
      <c r="AA47" s="66"/>
      <c r="AB47" s="237" t="s">
        <v>283</v>
      </c>
      <c r="AC47" s="239"/>
      <c r="AD47" s="51" t="str">
        <f t="shared" ref="AD47" si="141">A47</f>
        <v>B4</v>
      </c>
      <c r="AE47" s="51" t="str">
        <f t="shared" ref="AE47" si="142">J47</f>
        <v>糙米飯</v>
      </c>
      <c r="AF47" s="51" t="str">
        <f t="shared" ref="AF47" si="143">J48&amp;" "&amp;J49&amp;" "&amp;J50&amp;" "&amp;J51&amp;" "&amp;J52&amp;" "&amp;J53</f>
        <v xml:space="preserve">米 糙米    </v>
      </c>
      <c r="AG47" s="51" t="str">
        <f t="shared" ref="AG47" si="144">M47</f>
        <v>沙茶油腐</v>
      </c>
      <c r="AH47" s="51" t="str">
        <f t="shared" ref="AH47" si="145">M48&amp;" "&amp;M49&amp;" "&amp;M50&amp;" "&amp;M51&amp;" "&amp;M52&amp;" "&amp;M53</f>
        <v xml:space="preserve">四角油豆腐 油菜 素沙茶醬 胡蘿蔔 薑 </v>
      </c>
      <c r="AI47" s="51" t="str">
        <f t="shared" ref="AI47" si="146">P47</f>
        <v>蔬香冬粉</v>
      </c>
      <c r="AJ47" s="51" t="str">
        <f t="shared" ref="AJ47" si="147">P48&amp;" "&amp;P49&amp;" "&amp;P50&amp;" "&amp;P51&amp;" "&amp;P52&amp;" "&amp;P53</f>
        <v xml:space="preserve">冬粉 素絞肉 時蔬 胡蘿蔔 乾木耳 </v>
      </c>
      <c r="AK47" s="51" t="str">
        <f t="shared" ref="AK47" si="148">S47</f>
        <v>素火腿炒蛋</v>
      </c>
      <c r="AL47" s="51" t="str">
        <f t="shared" ref="AL47" si="149">S48&amp;" "&amp;S49&amp;" "&amp;S50&amp;" "&amp;S51&amp;" "&amp;S52&amp;" "&amp;S53</f>
        <v xml:space="preserve">雞蛋 素火腿 薑 杏鮑菇  </v>
      </c>
      <c r="AM47" s="51" t="str">
        <f t="shared" ref="AM47" si="150">V47</f>
        <v>時蔬</v>
      </c>
      <c r="AN47" s="51" t="str">
        <f t="shared" ref="AN47" si="151">V48&amp;" "&amp;V49&amp;" "&amp;V50&amp;" "&amp;V51&amp;" "&amp;V52&amp;" "&amp;V53</f>
        <v xml:space="preserve">蔬菜 薑    </v>
      </c>
      <c r="AO47" s="51" t="str">
        <f t="shared" ref="AO47" si="152">Y47</f>
        <v>銀耳甜湯</v>
      </c>
      <c r="AP47" s="51" t="str">
        <f t="shared" ref="AP47" si="153">Y48&amp;" "&amp;Y49&amp;" "&amp;Y50&amp;" "&amp;Y51&amp;" "&amp;Y52&amp;" "&amp;Y53</f>
        <v xml:space="preserve">乾銀耳 紅砂糖 枸杞   </v>
      </c>
      <c r="AQ47" s="51" t="str">
        <f>AB47</f>
        <v>點心</v>
      </c>
      <c r="AR47" s="51">
        <f>AC47</f>
        <v>0</v>
      </c>
      <c r="AS47" s="228">
        <f t="shared" ref="AS47" si="154">C47</f>
        <v>5.08</v>
      </c>
      <c r="AT47" s="228">
        <f t="shared" ref="AT47" si="155">H47</f>
        <v>3.356060606060606</v>
      </c>
      <c r="AU47" s="228">
        <f t="shared" ref="AU47" si="156">E47</f>
        <v>1.6500000000000001</v>
      </c>
      <c r="AV47" s="228">
        <f t="shared" ref="AV47" si="157">D47</f>
        <v>2.5030303030303029</v>
      </c>
      <c r="AW47" s="228">
        <f t="shared" ref="AW47" si="158">F47</f>
        <v>0</v>
      </c>
      <c r="AX47" s="228">
        <f t="shared" ref="AX47" si="159">G47</f>
        <v>0</v>
      </c>
      <c r="AY47" s="228">
        <f t="shared" ref="AY47" si="160">I47</f>
        <v>761.19090909090914</v>
      </c>
    </row>
    <row r="48" spans="1:51" s="229" customFormat="1" ht="15" customHeight="1">
      <c r="A48" s="241"/>
      <c r="B48" s="113"/>
      <c r="C48" s="116"/>
      <c r="D48" s="116"/>
      <c r="E48" s="116"/>
      <c r="F48" s="116"/>
      <c r="G48" s="116"/>
      <c r="H48" s="116"/>
      <c r="I48" s="116"/>
      <c r="J48" s="92" t="s">
        <v>57</v>
      </c>
      <c r="K48" s="92">
        <v>7</v>
      </c>
      <c r="L48" s="145" t="str">
        <f t="shared" ref="L48:L49" si="161">IF(K48,"公斤","")</f>
        <v>公斤</v>
      </c>
      <c r="M48" s="92" t="s">
        <v>125</v>
      </c>
      <c r="N48" s="92">
        <v>7</v>
      </c>
      <c r="O48" s="145" t="str">
        <f t="shared" ref="O48" si="162">IF(N48,"公斤","")</f>
        <v>公斤</v>
      </c>
      <c r="P48" s="92" t="s">
        <v>126</v>
      </c>
      <c r="Q48" s="92">
        <v>1.2</v>
      </c>
      <c r="R48" s="145" t="str">
        <f t="shared" ref="R48" si="163">IF(Q48,"公斤","")</f>
        <v>公斤</v>
      </c>
      <c r="S48" s="94" t="s">
        <v>28</v>
      </c>
      <c r="T48" s="94">
        <v>5.5</v>
      </c>
      <c r="U48" s="145" t="str">
        <f t="shared" ref="U48" si="164">IF(T48,"公斤","")</f>
        <v>公斤</v>
      </c>
      <c r="V48" s="92" t="s">
        <v>48</v>
      </c>
      <c r="W48" s="92">
        <v>7</v>
      </c>
      <c r="X48" s="145" t="str">
        <f t="shared" ref="X48" si="165">IF(W48,"公斤","")</f>
        <v>公斤</v>
      </c>
      <c r="Y48" s="92" t="s">
        <v>127</v>
      </c>
      <c r="Z48" s="92">
        <v>0.2</v>
      </c>
      <c r="AA48" s="145" t="str">
        <f t="shared" ref="AA48" si="166">IF(Z48,"公斤","")</f>
        <v>公斤</v>
      </c>
      <c r="AB48" s="94" t="s">
        <v>283</v>
      </c>
      <c r="AC48" s="233"/>
      <c r="AD48" s="231"/>
      <c r="AE48" s="231"/>
      <c r="AF48" s="5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</row>
    <row r="49" spans="1:51" s="229" customFormat="1" ht="15" customHeight="1">
      <c r="A49" s="241"/>
      <c r="B49" s="217" t="s">
        <v>557</v>
      </c>
      <c r="C49" s="217">
        <f>C47</f>
        <v>5.08</v>
      </c>
      <c r="D49" s="217">
        <f>(E49+H49)/2</f>
        <v>1.8280303030303031</v>
      </c>
      <c r="E49" s="217">
        <f>(N49+N51+Q50+Q51+W48+Z48*5)/10</f>
        <v>1.55</v>
      </c>
      <c r="F49" s="217">
        <f t="shared" ref="F49:G49" si="167">F47</f>
        <v>0</v>
      </c>
      <c r="G49" s="217">
        <f t="shared" si="167"/>
        <v>0</v>
      </c>
      <c r="H49" s="217">
        <f>N48/5.5+Q49/1.2</f>
        <v>2.106060606060606</v>
      </c>
      <c r="I49" s="217">
        <f>C49*70+D49*45+E49*25+H49*75+G49*60+F49*150</f>
        <v>634.56590909090914</v>
      </c>
      <c r="J49" s="92" t="s">
        <v>61</v>
      </c>
      <c r="K49" s="92">
        <v>3</v>
      </c>
      <c r="L49" s="145" t="str">
        <f t="shared" si="161"/>
        <v>公斤</v>
      </c>
      <c r="M49" s="92" t="s">
        <v>128</v>
      </c>
      <c r="N49" s="92">
        <v>3</v>
      </c>
      <c r="O49" s="145" t="str">
        <f t="shared" si="27"/>
        <v>公斤</v>
      </c>
      <c r="P49" s="92" t="s">
        <v>129</v>
      </c>
      <c r="Q49" s="92">
        <v>1</v>
      </c>
      <c r="R49" s="145" t="str">
        <f t="shared" si="28"/>
        <v>公斤</v>
      </c>
      <c r="S49" s="94" t="s">
        <v>455</v>
      </c>
      <c r="T49" s="94">
        <v>1</v>
      </c>
      <c r="U49" s="145" t="str">
        <f t="shared" si="29"/>
        <v>公斤</v>
      </c>
      <c r="V49" s="92" t="s">
        <v>64</v>
      </c>
      <c r="W49" s="92">
        <v>0.05</v>
      </c>
      <c r="X49" s="145" t="str">
        <f t="shared" si="30"/>
        <v>公斤</v>
      </c>
      <c r="Y49" s="92" t="s">
        <v>130</v>
      </c>
      <c r="Z49" s="92">
        <v>1</v>
      </c>
      <c r="AA49" s="145" t="str">
        <f t="shared" si="31"/>
        <v>公斤</v>
      </c>
      <c r="AB49" s="94"/>
      <c r="AC49" s="233"/>
      <c r="AD49" s="231"/>
      <c r="AE49" s="231"/>
      <c r="AF49" s="5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</row>
    <row r="50" spans="1:51" s="229" customFormat="1" ht="15" customHeight="1">
      <c r="A50" s="241"/>
      <c r="B50" s="113"/>
      <c r="C50" s="116"/>
      <c r="D50" s="116"/>
      <c r="E50" s="116"/>
      <c r="F50" s="116"/>
      <c r="G50" s="116"/>
      <c r="H50" s="116"/>
      <c r="I50" s="116"/>
      <c r="J50" s="92"/>
      <c r="K50" s="92"/>
      <c r="L50" s="145" t="str">
        <f t="shared" si="26"/>
        <v/>
      </c>
      <c r="M50" s="92" t="s">
        <v>131</v>
      </c>
      <c r="N50" s="92">
        <v>0.1</v>
      </c>
      <c r="O50" s="145" t="str">
        <f t="shared" si="27"/>
        <v>公斤</v>
      </c>
      <c r="P50" s="92" t="s">
        <v>55</v>
      </c>
      <c r="Q50" s="92">
        <v>3</v>
      </c>
      <c r="R50" s="145" t="str">
        <f t="shared" si="28"/>
        <v>公斤</v>
      </c>
      <c r="S50" s="94" t="s">
        <v>117</v>
      </c>
      <c r="T50" s="94">
        <v>0.05</v>
      </c>
      <c r="U50" s="145" t="str">
        <f t="shared" si="29"/>
        <v>公斤</v>
      </c>
      <c r="V50" s="92"/>
      <c r="W50" s="92"/>
      <c r="X50" s="145" t="str">
        <f t="shared" si="30"/>
        <v/>
      </c>
      <c r="Y50" s="92" t="s">
        <v>107</v>
      </c>
      <c r="Z50" s="92">
        <v>0.01</v>
      </c>
      <c r="AA50" s="145" t="str">
        <f t="shared" si="31"/>
        <v>公斤</v>
      </c>
      <c r="AB50" s="232"/>
      <c r="AC50" s="233"/>
      <c r="AD50" s="231"/>
      <c r="AE50" s="231"/>
      <c r="AF50" s="5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</row>
    <row r="51" spans="1:51" s="229" customFormat="1" ht="15" customHeight="1">
      <c r="A51" s="241"/>
      <c r="B51" s="113"/>
      <c r="C51" s="116"/>
      <c r="D51" s="116"/>
      <c r="E51" s="116"/>
      <c r="F51" s="116"/>
      <c r="G51" s="116"/>
      <c r="H51" s="116"/>
      <c r="I51" s="116"/>
      <c r="J51" s="92"/>
      <c r="K51" s="92"/>
      <c r="L51" s="145" t="str">
        <f t="shared" si="26"/>
        <v/>
      </c>
      <c r="M51" s="92" t="s">
        <v>58</v>
      </c>
      <c r="N51" s="92">
        <v>0.5</v>
      </c>
      <c r="O51" s="145" t="str">
        <f t="shared" si="27"/>
        <v>公斤</v>
      </c>
      <c r="P51" s="92" t="s">
        <v>58</v>
      </c>
      <c r="Q51" s="92">
        <v>1</v>
      </c>
      <c r="R51" s="145" t="str">
        <f t="shared" si="28"/>
        <v>公斤</v>
      </c>
      <c r="S51" s="94" t="s">
        <v>137</v>
      </c>
      <c r="T51" s="94">
        <v>1</v>
      </c>
      <c r="U51" s="145" t="str">
        <f t="shared" si="29"/>
        <v>公斤</v>
      </c>
      <c r="V51" s="92"/>
      <c r="W51" s="92"/>
      <c r="X51" s="145" t="str">
        <f t="shared" si="30"/>
        <v/>
      </c>
      <c r="Y51" s="92"/>
      <c r="Z51" s="92"/>
      <c r="AA51" s="145" t="str">
        <f t="shared" si="31"/>
        <v/>
      </c>
      <c r="AB51" s="232"/>
      <c r="AC51" s="233"/>
      <c r="AD51" s="231"/>
      <c r="AE51" s="231"/>
      <c r="AF51" s="5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</row>
    <row r="52" spans="1:51" s="229" customFormat="1" ht="15" customHeight="1">
      <c r="A52" s="241"/>
      <c r="B52" s="113"/>
      <c r="C52" s="116"/>
      <c r="D52" s="116"/>
      <c r="E52" s="116"/>
      <c r="F52" s="116"/>
      <c r="G52" s="116"/>
      <c r="H52" s="116"/>
      <c r="I52" s="116"/>
      <c r="J52" s="92"/>
      <c r="K52" s="92"/>
      <c r="L52" s="145" t="str">
        <f t="shared" si="26"/>
        <v/>
      </c>
      <c r="M52" s="92" t="s">
        <v>64</v>
      </c>
      <c r="N52" s="92">
        <v>0.05</v>
      </c>
      <c r="O52" s="145" t="str">
        <f t="shared" si="27"/>
        <v>公斤</v>
      </c>
      <c r="P52" s="92" t="s">
        <v>132</v>
      </c>
      <c r="Q52" s="92">
        <v>0.01</v>
      </c>
      <c r="R52" s="145" t="str">
        <f t="shared" si="28"/>
        <v>公斤</v>
      </c>
      <c r="S52" s="94"/>
      <c r="T52" s="94"/>
      <c r="U52" s="145" t="str">
        <f t="shared" si="29"/>
        <v/>
      </c>
      <c r="V52" s="92"/>
      <c r="W52" s="92"/>
      <c r="X52" s="145" t="str">
        <f t="shared" si="30"/>
        <v/>
      </c>
      <c r="Y52" s="92"/>
      <c r="Z52" s="92"/>
      <c r="AA52" s="145" t="str">
        <f t="shared" si="31"/>
        <v/>
      </c>
      <c r="AB52" s="232"/>
      <c r="AC52" s="233"/>
      <c r="AD52" s="231"/>
      <c r="AE52" s="231"/>
      <c r="AF52" s="5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</row>
    <row r="53" spans="1:51" s="229" customFormat="1" ht="15" customHeight="1" thickBot="1">
      <c r="A53" s="242"/>
      <c r="B53" s="115"/>
      <c r="C53" s="117"/>
      <c r="D53" s="117"/>
      <c r="E53" s="117"/>
      <c r="F53" s="117"/>
      <c r="G53" s="117"/>
      <c r="H53" s="117"/>
      <c r="I53" s="117"/>
      <c r="J53" s="109"/>
      <c r="K53" s="109"/>
      <c r="L53" s="145" t="str">
        <f t="shared" si="26"/>
        <v/>
      </c>
      <c r="M53" s="109"/>
      <c r="N53" s="109"/>
      <c r="O53" s="145" t="str">
        <f t="shared" si="27"/>
        <v/>
      </c>
      <c r="P53" s="109"/>
      <c r="Q53" s="109"/>
      <c r="R53" s="145" t="str">
        <f t="shared" si="28"/>
        <v/>
      </c>
      <c r="S53" s="234"/>
      <c r="T53" s="234"/>
      <c r="U53" s="145" t="str">
        <f t="shared" si="29"/>
        <v/>
      </c>
      <c r="V53" s="109"/>
      <c r="W53" s="109"/>
      <c r="X53" s="145" t="str">
        <f t="shared" si="30"/>
        <v/>
      </c>
      <c r="Y53" s="109"/>
      <c r="Z53" s="109"/>
      <c r="AA53" s="145" t="str">
        <f t="shared" si="31"/>
        <v/>
      </c>
      <c r="AB53" s="234"/>
      <c r="AC53" s="235"/>
      <c r="AD53" s="231"/>
      <c r="AE53" s="231"/>
      <c r="AF53" s="5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</row>
    <row r="54" spans="1:51" s="229" customFormat="1" ht="15" customHeight="1">
      <c r="A54" s="111" t="s">
        <v>12</v>
      </c>
      <c r="B54" s="114" t="s">
        <v>276</v>
      </c>
      <c r="C54" s="112">
        <f>K55/2+K56/2+T56/9</f>
        <v>5.5333333333333332</v>
      </c>
      <c r="D54" s="112">
        <f>(E54+H54)/2</f>
        <v>2.8885714285714288</v>
      </c>
      <c r="E54" s="112">
        <f>E56+(T56+T57)/10</f>
        <v>2.42</v>
      </c>
      <c r="F54" s="112">
        <v>0</v>
      </c>
      <c r="G54" s="112">
        <v>0</v>
      </c>
      <c r="H54" s="112">
        <f>H56+T55/4</f>
        <v>3.3571428571428572</v>
      </c>
      <c r="I54" s="112">
        <f>C54*70+D54*45+E54*25+H54*75+G54*60+F54*150</f>
        <v>829.60476190476197</v>
      </c>
      <c r="J54" s="288" t="s">
        <v>133</v>
      </c>
      <c r="K54" s="289"/>
      <c r="L54" s="66"/>
      <c r="M54" s="290" t="s">
        <v>515</v>
      </c>
      <c r="N54" s="289"/>
      <c r="O54" s="66"/>
      <c r="P54" s="237" t="s">
        <v>134</v>
      </c>
      <c r="Q54" s="238"/>
      <c r="R54" s="66"/>
      <c r="S54" s="288" t="s">
        <v>135</v>
      </c>
      <c r="T54" s="289"/>
      <c r="U54" s="66"/>
      <c r="V54" s="288" t="s">
        <v>55</v>
      </c>
      <c r="W54" s="289"/>
      <c r="X54" s="66"/>
      <c r="Y54" s="288" t="s">
        <v>136</v>
      </c>
      <c r="Z54" s="289"/>
      <c r="AA54" s="66"/>
      <c r="AB54" s="237" t="s">
        <v>283</v>
      </c>
      <c r="AC54" s="227" t="s">
        <v>56</v>
      </c>
      <c r="AD54" s="51" t="str">
        <f t="shared" ref="AD54" si="168">A54</f>
        <v>B5</v>
      </c>
      <c r="AE54" s="51" t="str">
        <f t="shared" ref="AE54" si="169">J54</f>
        <v>小米飯</v>
      </c>
      <c r="AF54" s="51" t="str">
        <f t="shared" ref="AF54" si="170">J55&amp;" "&amp;J56&amp;" "&amp;J57&amp;" "&amp;J58&amp;" "&amp;J59&amp;" "&amp;J60</f>
        <v xml:space="preserve">米 小米    </v>
      </c>
      <c r="AG54" s="51" t="str">
        <f t="shared" ref="AG54" si="171">M54</f>
        <v>京醬豆包</v>
      </c>
      <c r="AH54" s="51" t="str">
        <f t="shared" ref="AH54" si="172">M55&amp;" "&amp;M56&amp;" "&amp;M57&amp;" "&amp;M58&amp;" "&amp;M59&amp;" "&amp;M60</f>
        <v xml:space="preserve">豆包 時蔬 胡蘿蔔 甜麵醬  </v>
      </c>
      <c r="AI54" s="51" t="str">
        <f t="shared" ref="AI54" si="173">P54</f>
        <v>塔香鮑菇</v>
      </c>
      <c r="AJ54" s="51" t="str">
        <f t="shared" ref="AJ54" si="174">P55&amp;" "&amp;P56&amp;" "&amp;P57&amp;" "&amp;P58&amp;" "&amp;P59&amp;" "&amp;P60</f>
        <v xml:space="preserve">杏鮑菇 薑 九層塔 麵腸  </v>
      </c>
      <c r="AK54" s="51" t="str">
        <f t="shared" ref="AK54" si="175">S54</f>
        <v>芹香干片</v>
      </c>
      <c r="AL54" s="51" t="str">
        <f t="shared" ref="AL54" si="176">S55&amp;" "&amp;S56&amp;" "&amp;S57&amp;" "&amp;S58&amp;" "&amp;S59&amp;" "&amp;S60</f>
        <v xml:space="preserve">豆干 芹菜 胡蘿蔔 薑  </v>
      </c>
      <c r="AM54" s="51" t="str">
        <f t="shared" ref="AM54" si="177">V54</f>
        <v>時蔬</v>
      </c>
      <c r="AN54" s="51" t="str">
        <f t="shared" ref="AN54" si="178">V55&amp;" "&amp;V56&amp;" "&amp;V57&amp;" "&amp;V58&amp;" "&amp;V59&amp;" "&amp;V60</f>
        <v xml:space="preserve">蔬菜 薑    </v>
      </c>
      <c r="AO54" s="51" t="str">
        <f t="shared" ref="AO54" si="179">Y54</f>
        <v>冬瓜湯</v>
      </c>
      <c r="AP54" s="51" t="str">
        <f t="shared" ref="AP54" si="180">Y55&amp;" "&amp;Y56&amp;" "&amp;Y57&amp;" "&amp;Y58&amp;" "&amp;Y59&amp;" "&amp;Y60</f>
        <v xml:space="preserve">冬瓜 薑 素羊肉   </v>
      </c>
      <c r="AQ54" s="51" t="str">
        <f>AB54</f>
        <v>點心</v>
      </c>
      <c r="AR54" s="51" t="str">
        <f>AC54</f>
        <v>有機豆奶</v>
      </c>
      <c r="AS54" s="228">
        <f t="shared" ref="AS54" si="181">C54</f>
        <v>5.5333333333333332</v>
      </c>
      <c r="AT54" s="228">
        <f t="shared" ref="AT54" si="182">H54</f>
        <v>3.3571428571428572</v>
      </c>
      <c r="AU54" s="228">
        <f t="shared" ref="AU54" si="183">E54</f>
        <v>2.42</v>
      </c>
      <c r="AV54" s="228">
        <f t="shared" ref="AV54" si="184">D54</f>
        <v>2.8885714285714288</v>
      </c>
      <c r="AW54" s="228">
        <f t="shared" ref="AW54" si="185">F54</f>
        <v>0</v>
      </c>
      <c r="AX54" s="228">
        <f t="shared" ref="AX54" si="186">G54</f>
        <v>0</v>
      </c>
      <c r="AY54" s="228">
        <f t="shared" ref="AY54" si="187">I54</f>
        <v>829.60476190476197</v>
      </c>
    </row>
    <row r="55" spans="1:51" s="229" customFormat="1" ht="15" customHeight="1">
      <c r="A55" s="241"/>
      <c r="B55" s="113"/>
      <c r="C55" s="116"/>
      <c r="D55" s="116"/>
      <c r="E55" s="116"/>
      <c r="F55" s="116"/>
      <c r="G55" s="116"/>
      <c r="H55" s="116"/>
      <c r="I55" s="116"/>
      <c r="J55" s="92" t="s">
        <v>57</v>
      </c>
      <c r="K55" s="92">
        <v>10</v>
      </c>
      <c r="L55" s="145" t="str">
        <f t="shared" ref="L55:L56" si="188">IF(K55,"公斤","")</f>
        <v>公斤</v>
      </c>
      <c r="M55" s="140" t="s">
        <v>516</v>
      </c>
      <c r="N55" s="92">
        <v>6</v>
      </c>
      <c r="O55" s="145" t="str">
        <f t="shared" ref="O55" si="189">IF(N55,"公斤","")</f>
        <v>公斤</v>
      </c>
      <c r="P55" s="94" t="s">
        <v>137</v>
      </c>
      <c r="Q55" s="94">
        <v>4</v>
      </c>
      <c r="R55" s="145" t="str">
        <f t="shared" ref="R55" si="190">IF(Q55,"公斤","")</f>
        <v>公斤</v>
      </c>
      <c r="S55" s="92" t="s">
        <v>106</v>
      </c>
      <c r="T55" s="92">
        <v>2</v>
      </c>
      <c r="U55" s="145" t="str">
        <f t="shared" ref="U55" si="191">IF(T55,"公斤","")</f>
        <v>公斤</v>
      </c>
      <c r="V55" s="92" t="s">
        <v>48</v>
      </c>
      <c r="W55" s="92">
        <v>7</v>
      </c>
      <c r="X55" s="145" t="str">
        <f t="shared" ref="X55" si="192">IF(W55,"公斤","")</f>
        <v>公斤</v>
      </c>
      <c r="Y55" s="92" t="s">
        <v>138</v>
      </c>
      <c r="Z55" s="92">
        <v>5</v>
      </c>
      <c r="AA55" s="145" t="str">
        <f t="shared" ref="AA55" si="193">IF(Z55,"公斤","")</f>
        <v>公斤</v>
      </c>
      <c r="AB55" s="94" t="s">
        <v>283</v>
      </c>
      <c r="AC55" s="230" t="s">
        <v>56</v>
      </c>
      <c r="AD55" s="231"/>
      <c r="AE55" s="231"/>
      <c r="AF55" s="5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</row>
    <row r="56" spans="1:51" s="229" customFormat="1" ht="15" customHeight="1">
      <c r="A56" s="243"/>
      <c r="B56" s="217" t="s">
        <v>557</v>
      </c>
      <c r="C56" s="217">
        <f>C54-T56/9</f>
        <v>5.2</v>
      </c>
      <c r="D56" s="217">
        <f>(E56+H56)/2</f>
        <v>2.4635714285714285</v>
      </c>
      <c r="E56" s="217">
        <f>(N56+N57+Q55+Q57+W55+Z55+Z57)/10</f>
        <v>2.0699999999999998</v>
      </c>
      <c r="F56" s="217">
        <f t="shared" ref="F56:G56" si="194">F54</f>
        <v>0</v>
      </c>
      <c r="G56" s="217">
        <f t="shared" si="194"/>
        <v>0</v>
      </c>
      <c r="H56" s="217">
        <f>N55/3+Q58/3.5</f>
        <v>2.8571428571428572</v>
      </c>
      <c r="I56" s="217">
        <f>C56*70+D56*45+E56*25+H56*75+G56*60+F56*150</f>
        <v>740.89642857142849</v>
      </c>
      <c r="J56" s="92" t="s">
        <v>139</v>
      </c>
      <c r="K56" s="92">
        <v>0.4</v>
      </c>
      <c r="L56" s="145" t="str">
        <f t="shared" si="188"/>
        <v>公斤</v>
      </c>
      <c r="M56" s="92" t="s">
        <v>55</v>
      </c>
      <c r="N56" s="92">
        <v>3</v>
      </c>
      <c r="O56" s="145" t="str">
        <f t="shared" si="27"/>
        <v>公斤</v>
      </c>
      <c r="P56" s="94" t="s">
        <v>117</v>
      </c>
      <c r="Q56" s="94">
        <v>0.05</v>
      </c>
      <c r="R56" s="145" t="str">
        <f t="shared" si="28"/>
        <v>公斤</v>
      </c>
      <c r="S56" s="92" t="s">
        <v>66</v>
      </c>
      <c r="T56" s="92">
        <v>3</v>
      </c>
      <c r="U56" s="145" t="str">
        <f t="shared" si="29"/>
        <v>公斤</v>
      </c>
      <c r="V56" s="92" t="s">
        <v>64</v>
      </c>
      <c r="W56" s="92">
        <v>0.05</v>
      </c>
      <c r="X56" s="145" t="str">
        <f t="shared" si="30"/>
        <v>公斤</v>
      </c>
      <c r="Y56" s="92" t="s">
        <v>64</v>
      </c>
      <c r="Z56" s="92">
        <v>0.05</v>
      </c>
      <c r="AA56" s="145" t="str">
        <f t="shared" si="31"/>
        <v>公斤</v>
      </c>
      <c r="AB56" s="94"/>
      <c r="AC56" s="233"/>
      <c r="AD56" s="231"/>
      <c r="AE56" s="231"/>
      <c r="AF56" s="5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</row>
    <row r="57" spans="1:51" s="229" customFormat="1" ht="15" customHeight="1">
      <c r="A57" s="241"/>
      <c r="B57" s="113"/>
      <c r="C57" s="116"/>
      <c r="D57" s="116"/>
      <c r="E57" s="116"/>
      <c r="F57" s="116"/>
      <c r="G57" s="116"/>
      <c r="H57" s="116"/>
      <c r="I57" s="116"/>
      <c r="J57" s="92"/>
      <c r="K57" s="92"/>
      <c r="L57" s="145" t="str">
        <f t="shared" si="26"/>
        <v/>
      </c>
      <c r="M57" s="92" t="s">
        <v>58</v>
      </c>
      <c r="N57" s="92">
        <v>1</v>
      </c>
      <c r="O57" s="145" t="str">
        <f t="shared" si="27"/>
        <v>公斤</v>
      </c>
      <c r="P57" s="94" t="s">
        <v>140</v>
      </c>
      <c r="Q57" s="94">
        <v>0.2</v>
      </c>
      <c r="R57" s="145" t="str">
        <f t="shared" si="28"/>
        <v>公斤</v>
      </c>
      <c r="S57" s="92" t="s">
        <v>58</v>
      </c>
      <c r="T57" s="92">
        <v>0.5</v>
      </c>
      <c r="U57" s="145" t="str">
        <f t="shared" si="29"/>
        <v>公斤</v>
      </c>
      <c r="V57" s="92"/>
      <c r="W57" s="92"/>
      <c r="X57" s="145" t="str">
        <f t="shared" si="30"/>
        <v/>
      </c>
      <c r="Y57" s="92" t="s">
        <v>97</v>
      </c>
      <c r="Z57" s="92">
        <v>0.5</v>
      </c>
      <c r="AA57" s="145" t="str">
        <f t="shared" si="31"/>
        <v>公斤</v>
      </c>
      <c r="AB57" s="232"/>
      <c r="AC57" s="233"/>
      <c r="AD57" s="231"/>
      <c r="AE57" s="231"/>
      <c r="AF57" s="5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</row>
    <row r="58" spans="1:51" s="229" customFormat="1" ht="15" customHeight="1">
      <c r="A58" s="241"/>
      <c r="B58" s="113"/>
      <c r="C58" s="116"/>
      <c r="D58" s="116"/>
      <c r="E58" s="116"/>
      <c r="F58" s="116"/>
      <c r="G58" s="116"/>
      <c r="H58" s="116"/>
      <c r="I58" s="116"/>
      <c r="J58" s="92"/>
      <c r="K58" s="92"/>
      <c r="L58" s="145" t="str">
        <f t="shared" si="26"/>
        <v/>
      </c>
      <c r="M58" s="92" t="s">
        <v>141</v>
      </c>
      <c r="N58" s="92">
        <v>0.5</v>
      </c>
      <c r="O58" s="145" t="str">
        <f t="shared" si="27"/>
        <v>公斤</v>
      </c>
      <c r="P58" s="94" t="s">
        <v>456</v>
      </c>
      <c r="Q58" s="94">
        <v>3</v>
      </c>
      <c r="R58" s="145" t="str">
        <f t="shared" si="28"/>
        <v>公斤</v>
      </c>
      <c r="S58" s="92" t="s">
        <v>64</v>
      </c>
      <c r="T58" s="92">
        <v>0.05</v>
      </c>
      <c r="U58" s="145" t="str">
        <f t="shared" si="29"/>
        <v>公斤</v>
      </c>
      <c r="V58" s="92"/>
      <c r="W58" s="92"/>
      <c r="X58" s="145" t="str">
        <f t="shared" si="30"/>
        <v/>
      </c>
      <c r="Y58" s="92"/>
      <c r="Z58" s="92"/>
      <c r="AA58" s="145" t="str">
        <f t="shared" si="31"/>
        <v/>
      </c>
      <c r="AB58" s="232"/>
      <c r="AC58" s="233"/>
      <c r="AD58" s="231"/>
      <c r="AE58" s="231"/>
      <c r="AF58" s="5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</row>
    <row r="59" spans="1:51" s="229" customFormat="1" ht="15" customHeight="1">
      <c r="A59" s="241"/>
      <c r="B59" s="113"/>
      <c r="C59" s="116"/>
      <c r="D59" s="116"/>
      <c r="E59" s="116"/>
      <c r="F59" s="116"/>
      <c r="G59" s="116"/>
      <c r="H59" s="116"/>
      <c r="I59" s="116"/>
      <c r="J59" s="92"/>
      <c r="K59" s="92"/>
      <c r="L59" s="145" t="str">
        <f t="shared" si="26"/>
        <v/>
      </c>
      <c r="M59" s="92"/>
      <c r="N59" s="92"/>
      <c r="O59" s="145" t="str">
        <f t="shared" si="27"/>
        <v/>
      </c>
      <c r="P59" s="232"/>
      <c r="Q59" s="232"/>
      <c r="R59" s="145" t="str">
        <f t="shared" si="28"/>
        <v/>
      </c>
      <c r="S59" s="92"/>
      <c r="T59" s="92"/>
      <c r="U59" s="145" t="str">
        <f t="shared" si="29"/>
        <v/>
      </c>
      <c r="V59" s="92"/>
      <c r="W59" s="92"/>
      <c r="X59" s="145" t="str">
        <f t="shared" si="30"/>
        <v/>
      </c>
      <c r="Y59" s="92"/>
      <c r="Z59" s="92"/>
      <c r="AA59" s="145" t="str">
        <f t="shared" si="31"/>
        <v/>
      </c>
      <c r="AB59" s="232"/>
      <c r="AC59" s="233"/>
      <c r="AD59" s="231"/>
      <c r="AE59" s="231"/>
      <c r="AF59" s="5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</row>
    <row r="60" spans="1:51" s="229" customFormat="1" ht="15" customHeight="1" thickBot="1">
      <c r="A60" s="242"/>
      <c r="B60" s="115"/>
      <c r="C60" s="117"/>
      <c r="D60" s="117"/>
      <c r="E60" s="117"/>
      <c r="F60" s="117"/>
      <c r="G60" s="117"/>
      <c r="H60" s="117"/>
      <c r="I60" s="117"/>
      <c r="J60" s="109"/>
      <c r="K60" s="109"/>
      <c r="L60" s="145" t="str">
        <f t="shared" si="26"/>
        <v/>
      </c>
      <c r="M60" s="109"/>
      <c r="N60" s="109"/>
      <c r="O60" s="145" t="str">
        <f t="shared" si="27"/>
        <v/>
      </c>
      <c r="P60" s="234"/>
      <c r="Q60" s="234"/>
      <c r="R60" s="145" t="str">
        <f t="shared" si="28"/>
        <v/>
      </c>
      <c r="S60" s="109"/>
      <c r="T60" s="109"/>
      <c r="U60" s="145" t="str">
        <f t="shared" si="29"/>
        <v/>
      </c>
      <c r="V60" s="109"/>
      <c r="W60" s="109"/>
      <c r="X60" s="145" t="str">
        <f t="shared" si="30"/>
        <v/>
      </c>
      <c r="Y60" s="109"/>
      <c r="Z60" s="109"/>
      <c r="AA60" s="145" t="str">
        <f t="shared" si="31"/>
        <v/>
      </c>
      <c r="AB60" s="234"/>
      <c r="AC60" s="235"/>
      <c r="AD60" s="231"/>
      <c r="AE60" s="231"/>
      <c r="AF60" s="5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</row>
    <row r="61" spans="1:51" s="229" customFormat="1" ht="15" customHeight="1">
      <c r="A61" s="111" t="s">
        <v>13</v>
      </c>
      <c r="B61" s="114" t="s">
        <v>276</v>
      </c>
      <c r="C61" s="112">
        <f>K62/2+N63/9</f>
        <v>5.2222222222222223</v>
      </c>
      <c r="D61" s="112">
        <f>(E61+H61)/2</f>
        <v>2.2749999999999999</v>
      </c>
      <c r="E61" s="112">
        <f>(N64+Q63+W62+Z62+Z63+Z64)/10</f>
        <v>1.75</v>
      </c>
      <c r="F61" s="112">
        <v>0</v>
      </c>
      <c r="G61" s="112">
        <v>0</v>
      </c>
      <c r="H61" s="112">
        <f>H63+T62/5</f>
        <v>2.8</v>
      </c>
      <c r="I61" s="112">
        <f>C61*70+D61*45+E61*25+H61*75+G61*60+F61*150</f>
        <v>721.68055555555554</v>
      </c>
      <c r="J61" s="288" t="s">
        <v>99</v>
      </c>
      <c r="K61" s="289"/>
      <c r="L61" s="66"/>
      <c r="M61" s="237" t="s">
        <v>457</v>
      </c>
      <c r="N61" s="238"/>
      <c r="O61" s="66"/>
      <c r="P61" s="288" t="s">
        <v>142</v>
      </c>
      <c r="Q61" s="289"/>
      <c r="R61" s="66"/>
      <c r="S61" s="288" t="s">
        <v>143</v>
      </c>
      <c r="T61" s="289"/>
      <c r="U61" s="66"/>
      <c r="V61" s="288" t="s">
        <v>55</v>
      </c>
      <c r="W61" s="289"/>
      <c r="X61" s="66"/>
      <c r="Y61" s="288" t="s">
        <v>144</v>
      </c>
      <c r="Z61" s="289"/>
      <c r="AA61" s="66"/>
      <c r="AB61" s="237" t="s">
        <v>283</v>
      </c>
      <c r="AC61" s="239"/>
      <c r="AD61" s="51" t="str">
        <f t="shared" ref="AD61" si="195">A61</f>
        <v>C1</v>
      </c>
      <c r="AE61" s="51" t="str">
        <f t="shared" ref="AE61" si="196">J61</f>
        <v>白米飯</v>
      </c>
      <c r="AF61" s="51" t="str">
        <f t="shared" ref="AF61" si="197">J62&amp;" "&amp;J63&amp;" "&amp;J64&amp;" "&amp;J65&amp;" "&amp;J66&amp;" "&amp;J67</f>
        <v xml:space="preserve">米     </v>
      </c>
      <c r="AG61" s="51" t="str">
        <f t="shared" ref="AG61" si="198">M61</f>
        <v>咖哩凍腐</v>
      </c>
      <c r="AH61" s="51" t="str">
        <f t="shared" ref="AH61" si="199">M62&amp;" "&amp;M63&amp;" "&amp;M64&amp;" "&amp;M65&amp;" "&amp;M66&amp;" "&amp;M67</f>
        <v xml:space="preserve">凍豆腐 馬鈴薯 胡蘿蔔 咖哩粉  </v>
      </c>
      <c r="AI61" s="51" t="str">
        <f t="shared" ref="AI61" si="200">P61</f>
        <v>蛋香玉菜</v>
      </c>
      <c r="AJ61" s="51" t="str">
        <f t="shared" ref="AJ61" si="201">P62&amp;" "&amp;P63&amp;" "&amp;P64&amp;" "&amp;P65&amp;" "&amp;P66&amp;" "&amp;P67</f>
        <v xml:space="preserve">雞蛋 甘藍 薑   </v>
      </c>
      <c r="AK61" s="51" t="str">
        <f t="shared" ref="AK61" si="202">S61</f>
        <v>泰式素丸</v>
      </c>
      <c r="AL61" s="51" t="str">
        <f t="shared" ref="AL61" si="203">S62&amp;" "&amp;S63&amp;" "&amp;S64&amp;" "&amp;S65&amp;" "&amp;S66&amp;" "&amp;S67</f>
        <v xml:space="preserve">素丸 泰式甜辣醬    </v>
      </c>
      <c r="AM61" s="51" t="str">
        <f t="shared" ref="AM61" si="204">V61</f>
        <v>時蔬</v>
      </c>
      <c r="AN61" s="51" t="str">
        <f t="shared" ref="AN61" si="205">V62&amp;" "&amp;V63&amp;" "&amp;V64&amp;" "&amp;V65&amp;" "&amp;V66&amp;" "&amp;V67</f>
        <v xml:space="preserve">蔬菜 薑    </v>
      </c>
      <c r="AO61" s="51" t="str">
        <f t="shared" ref="AO61" si="206">Y61</f>
        <v>羅宋湯</v>
      </c>
      <c r="AP61" s="51" t="str">
        <f t="shared" ref="AP61" si="207">Y62&amp;" "&amp;Y63&amp;" "&amp;Y64&amp;" "&amp;Y65&amp;" "&amp;Y66&amp;" "&amp;Y67</f>
        <v xml:space="preserve">時蔬 芹菜 大番茄   </v>
      </c>
      <c r="AQ61" s="51" t="str">
        <f>AB61</f>
        <v>點心</v>
      </c>
      <c r="AR61" s="51">
        <f>AC61</f>
        <v>0</v>
      </c>
      <c r="AS61" s="228">
        <f t="shared" ref="AS61" si="208">C61</f>
        <v>5.2222222222222223</v>
      </c>
      <c r="AT61" s="228">
        <f t="shared" ref="AT61" si="209">H61</f>
        <v>2.8</v>
      </c>
      <c r="AU61" s="228">
        <f t="shared" ref="AU61" si="210">E61</f>
        <v>1.75</v>
      </c>
      <c r="AV61" s="228">
        <f t="shared" ref="AV61" si="211">D61</f>
        <v>2.2749999999999999</v>
      </c>
      <c r="AW61" s="228">
        <f t="shared" ref="AW61" si="212">F61</f>
        <v>0</v>
      </c>
      <c r="AX61" s="228">
        <f t="shared" ref="AX61" si="213">G61</f>
        <v>0</v>
      </c>
      <c r="AY61" s="228">
        <f t="shared" ref="AY61" si="214">I61</f>
        <v>721.68055555555554</v>
      </c>
    </row>
    <row r="62" spans="1:51" s="229" customFormat="1" ht="15" customHeight="1">
      <c r="A62" s="241"/>
      <c r="B62" s="113"/>
      <c r="C62" s="116"/>
      <c r="D62" s="116"/>
      <c r="E62" s="116"/>
      <c r="F62" s="116"/>
      <c r="G62" s="116"/>
      <c r="H62" s="116"/>
      <c r="I62" s="116"/>
      <c r="J62" s="92" t="s">
        <v>57</v>
      </c>
      <c r="K62" s="92">
        <v>10</v>
      </c>
      <c r="L62" s="145" t="str">
        <f t="shared" ref="L62:L63" si="215">IF(K62,"公斤","")</f>
        <v>公斤</v>
      </c>
      <c r="M62" s="94" t="s">
        <v>330</v>
      </c>
      <c r="N62" s="94">
        <v>8</v>
      </c>
      <c r="O62" s="145" t="str">
        <f t="shared" ref="O62" si="216">IF(N62,"公斤","")</f>
        <v>公斤</v>
      </c>
      <c r="P62" s="92" t="s">
        <v>103</v>
      </c>
      <c r="Q62" s="92">
        <v>5.5</v>
      </c>
      <c r="R62" s="145" t="str">
        <f t="shared" ref="R62" si="217">IF(Q62,"公斤","")</f>
        <v>公斤</v>
      </c>
      <c r="S62" s="92" t="s">
        <v>60</v>
      </c>
      <c r="T62" s="92">
        <v>4</v>
      </c>
      <c r="U62" s="145" t="str">
        <f t="shared" ref="U62" si="218">IF(T62,"公斤","")</f>
        <v>公斤</v>
      </c>
      <c r="V62" s="92" t="s">
        <v>48</v>
      </c>
      <c r="W62" s="92">
        <v>7</v>
      </c>
      <c r="X62" s="145" t="str">
        <f t="shared" ref="X62" si="219">IF(W62,"公斤","")</f>
        <v>公斤</v>
      </c>
      <c r="Y62" s="92" t="s">
        <v>55</v>
      </c>
      <c r="Z62" s="92">
        <v>2</v>
      </c>
      <c r="AA62" s="145" t="str">
        <f t="shared" ref="AA62" si="220">IF(Z62,"公斤","")</f>
        <v>公斤</v>
      </c>
      <c r="AB62" s="94" t="s">
        <v>283</v>
      </c>
      <c r="AC62" s="233"/>
      <c r="AD62" s="231"/>
      <c r="AE62" s="231"/>
      <c r="AF62" s="5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</row>
    <row r="63" spans="1:51" s="229" customFormat="1" ht="15" customHeight="1">
      <c r="A63" s="241"/>
      <c r="B63" s="217" t="s">
        <v>557</v>
      </c>
      <c r="C63" s="217">
        <f>C61</f>
        <v>5.2222222222222223</v>
      </c>
      <c r="D63" s="217">
        <f>(E63+H63)/2</f>
        <v>1.875</v>
      </c>
      <c r="E63" s="217">
        <f t="shared" ref="E63:G63" si="221">E61</f>
        <v>1.75</v>
      </c>
      <c r="F63" s="217">
        <f t="shared" si="221"/>
        <v>0</v>
      </c>
      <c r="G63" s="217">
        <f t="shared" si="221"/>
        <v>0</v>
      </c>
      <c r="H63" s="217">
        <f>N62/8+Q62/5.5</f>
        <v>2</v>
      </c>
      <c r="I63" s="217">
        <f>C63*70+D63*45+E63*25+H63*75+G63*60+F63*150</f>
        <v>643.68055555555554</v>
      </c>
      <c r="J63" s="92"/>
      <c r="K63" s="92"/>
      <c r="L63" s="145" t="str">
        <f t="shared" si="215"/>
        <v/>
      </c>
      <c r="M63" s="94" t="s">
        <v>31</v>
      </c>
      <c r="N63" s="94">
        <v>2</v>
      </c>
      <c r="O63" s="145" t="str">
        <f t="shared" si="27"/>
        <v>公斤</v>
      </c>
      <c r="P63" s="92" t="s">
        <v>63</v>
      </c>
      <c r="Q63" s="92">
        <v>3</v>
      </c>
      <c r="R63" s="145" t="str">
        <f t="shared" si="28"/>
        <v>公斤</v>
      </c>
      <c r="S63" s="92" t="s">
        <v>145</v>
      </c>
      <c r="T63" s="92">
        <v>0.3</v>
      </c>
      <c r="U63" s="145" t="str">
        <f t="shared" si="29"/>
        <v>公斤</v>
      </c>
      <c r="V63" s="92" t="s">
        <v>64</v>
      </c>
      <c r="W63" s="92">
        <v>0.05</v>
      </c>
      <c r="X63" s="145" t="str">
        <f t="shared" si="30"/>
        <v>公斤</v>
      </c>
      <c r="Y63" s="92" t="s">
        <v>66</v>
      </c>
      <c r="Z63" s="92">
        <v>1.5</v>
      </c>
      <c r="AA63" s="145" t="str">
        <f t="shared" si="31"/>
        <v>公斤</v>
      </c>
      <c r="AB63" s="94"/>
      <c r="AC63" s="233"/>
      <c r="AD63" s="231"/>
      <c r="AE63" s="231"/>
      <c r="AF63" s="5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</row>
    <row r="64" spans="1:51" s="229" customFormat="1" ht="15" customHeight="1">
      <c r="A64" s="241"/>
      <c r="B64" s="113"/>
      <c r="C64" s="116"/>
      <c r="D64" s="116"/>
      <c r="E64" s="116"/>
      <c r="F64" s="116"/>
      <c r="G64" s="116"/>
      <c r="H64" s="116"/>
      <c r="I64" s="116"/>
      <c r="J64" s="92"/>
      <c r="K64" s="92"/>
      <c r="L64" s="145" t="str">
        <f t="shared" si="26"/>
        <v/>
      </c>
      <c r="M64" s="94" t="s">
        <v>8</v>
      </c>
      <c r="N64" s="94">
        <v>2</v>
      </c>
      <c r="O64" s="145" t="str">
        <f t="shared" si="27"/>
        <v>公斤</v>
      </c>
      <c r="P64" s="92" t="s">
        <v>64</v>
      </c>
      <c r="Q64" s="92">
        <v>0.05</v>
      </c>
      <c r="R64" s="145" t="str">
        <f t="shared" si="28"/>
        <v>公斤</v>
      </c>
      <c r="S64" s="92"/>
      <c r="T64" s="92"/>
      <c r="U64" s="145" t="str">
        <f t="shared" si="29"/>
        <v/>
      </c>
      <c r="V64" s="92"/>
      <c r="W64" s="92"/>
      <c r="X64" s="145" t="str">
        <f t="shared" si="30"/>
        <v/>
      </c>
      <c r="Y64" s="92" t="s">
        <v>81</v>
      </c>
      <c r="Z64" s="92">
        <v>2</v>
      </c>
      <c r="AA64" s="145" t="str">
        <f t="shared" si="31"/>
        <v>公斤</v>
      </c>
      <c r="AB64" s="232"/>
      <c r="AC64" s="233"/>
      <c r="AD64" s="231"/>
      <c r="AE64" s="231"/>
      <c r="AF64" s="5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</row>
    <row r="65" spans="1:51" s="229" customFormat="1" ht="15" customHeight="1">
      <c r="A65" s="241"/>
      <c r="B65" s="113"/>
      <c r="C65" s="116"/>
      <c r="D65" s="116"/>
      <c r="E65" s="116"/>
      <c r="F65" s="116"/>
      <c r="G65" s="116"/>
      <c r="H65" s="116"/>
      <c r="I65" s="116"/>
      <c r="J65" s="92"/>
      <c r="K65" s="92"/>
      <c r="L65" s="145" t="str">
        <f t="shared" si="26"/>
        <v/>
      </c>
      <c r="M65" s="94" t="s">
        <v>293</v>
      </c>
      <c r="N65" s="94"/>
      <c r="O65" s="145" t="str">
        <f t="shared" si="27"/>
        <v/>
      </c>
      <c r="P65" s="92"/>
      <c r="Q65" s="92"/>
      <c r="R65" s="145" t="str">
        <f t="shared" si="28"/>
        <v/>
      </c>
      <c r="S65" s="92"/>
      <c r="T65" s="92"/>
      <c r="U65" s="145" t="str">
        <f t="shared" si="29"/>
        <v/>
      </c>
      <c r="V65" s="92"/>
      <c r="W65" s="92"/>
      <c r="X65" s="145" t="str">
        <f t="shared" si="30"/>
        <v/>
      </c>
      <c r="Y65" s="92"/>
      <c r="Z65" s="92"/>
      <c r="AA65" s="145" t="str">
        <f t="shared" si="31"/>
        <v/>
      </c>
      <c r="AB65" s="232"/>
      <c r="AC65" s="233"/>
      <c r="AD65" s="231"/>
      <c r="AE65" s="231"/>
      <c r="AF65" s="5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</row>
    <row r="66" spans="1:51" s="229" customFormat="1" ht="15" customHeight="1">
      <c r="A66" s="241"/>
      <c r="B66" s="113"/>
      <c r="C66" s="116"/>
      <c r="D66" s="116"/>
      <c r="E66" s="116"/>
      <c r="F66" s="116"/>
      <c r="G66" s="116"/>
      <c r="H66" s="116"/>
      <c r="I66" s="116"/>
      <c r="J66" s="92"/>
      <c r="K66" s="92"/>
      <c r="L66" s="145" t="str">
        <f t="shared" si="26"/>
        <v/>
      </c>
      <c r="M66" s="94"/>
      <c r="N66" s="94"/>
      <c r="O66" s="145" t="str">
        <f t="shared" si="27"/>
        <v/>
      </c>
      <c r="P66" s="92"/>
      <c r="Q66" s="92"/>
      <c r="R66" s="145" t="str">
        <f t="shared" si="28"/>
        <v/>
      </c>
      <c r="S66" s="92"/>
      <c r="T66" s="92"/>
      <c r="U66" s="145" t="str">
        <f t="shared" si="29"/>
        <v/>
      </c>
      <c r="V66" s="92"/>
      <c r="W66" s="92"/>
      <c r="X66" s="145" t="str">
        <f t="shared" si="30"/>
        <v/>
      </c>
      <c r="Y66" s="92"/>
      <c r="Z66" s="92"/>
      <c r="AA66" s="145" t="str">
        <f t="shared" si="31"/>
        <v/>
      </c>
      <c r="AB66" s="232"/>
      <c r="AC66" s="233"/>
      <c r="AD66" s="231"/>
      <c r="AE66" s="231"/>
      <c r="AF66" s="5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</row>
    <row r="67" spans="1:51" s="229" customFormat="1" ht="15" customHeight="1" thickBot="1">
      <c r="A67" s="242"/>
      <c r="B67" s="115"/>
      <c r="C67" s="117"/>
      <c r="D67" s="117"/>
      <c r="E67" s="117"/>
      <c r="F67" s="117"/>
      <c r="G67" s="117"/>
      <c r="H67" s="117"/>
      <c r="I67" s="117"/>
      <c r="J67" s="109"/>
      <c r="K67" s="109"/>
      <c r="L67" s="145" t="str">
        <f t="shared" si="26"/>
        <v/>
      </c>
      <c r="M67" s="234"/>
      <c r="N67" s="234"/>
      <c r="O67" s="145" t="str">
        <f t="shared" si="27"/>
        <v/>
      </c>
      <c r="P67" s="109"/>
      <c r="Q67" s="109"/>
      <c r="R67" s="145" t="str">
        <f t="shared" si="28"/>
        <v/>
      </c>
      <c r="S67" s="109"/>
      <c r="T67" s="109"/>
      <c r="U67" s="145" t="str">
        <f t="shared" si="29"/>
        <v/>
      </c>
      <c r="V67" s="109"/>
      <c r="W67" s="109"/>
      <c r="X67" s="145" t="str">
        <f t="shared" si="30"/>
        <v/>
      </c>
      <c r="Y67" s="109"/>
      <c r="Z67" s="109"/>
      <c r="AA67" s="145" t="str">
        <f t="shared" si="31"/>
        <v/>
      </c>
      <c r="AB67" s="234"/>
      <c r="AC67" s="235"/>
      <c r="AD67" s="231"/>
      <c r="AE67" s="231"/>
      <c r="AF67" s="5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</row>
    <row r="68" spans="1:51" s="229" customFormat="1" ht="15" customHeight="1">
      <c r="A68" s="111" t="s">
        <v>14</v>
      </c>
      <c r="B68" s="114" t="s">
        <v>276</v>
      </c>
      <c r="C68" s="112">
        <f>K69/2+K70/2</f>
        <v>5</v>
      </c>
      <c r="D68" s="112">
        <f>(E68+H68)/2</f>
        <v>2.5166666666666666</v>
      </c>
      <c r="E68" s="112">
        <f>(N70+N71+Q69+Q71+Q72+T70+T71+W69+Z69+Z70+Z72)/10</f>
        <v>2.5</v>
      </c>
      <c r="F68" s="112">
        <v>0</v>
      </c>
      <c r="G68" s="112">
        <v>0</v>
      </c>
      <c r="H68" s="112">
        <f>N69/4+Q70/1.2+T69/3</f>
        <v>2.5333333333333332</v>
      </c>
      <c r="I68" s="112">
        <f>C68*70+D68*45+E68*25+H68*75+G68*60+F68*150</f>
        <v>715.75</v>
      </c>
      <c r="J68" s="288" t="s">
        <v>71</v>
      </c>
      <c r="K68" s="289"/>
      <c r="L68" s="66"/>
      <c r="M68" s="290" t="s">
        <v>558</v>
      </c>
      <c r="N68" s="289"/>
      <c r="O68" s="66"/>
      <c r="P68" s="288" t="s">
        <v>146</v>
      </c>
      <c r="Q68" s="289"/>
      <c r="R68" s="66"/>
      <c r="S68" s="288" t="s">
        <v>147</v>
      </c>
      <c r="T68" s="289"/>
      <c r="U68" s="66"/>
      <c r="V68" s="288" t="s">
        <v>55</v>
      </c>
      <c r="W68" s="289"/>
      <c r="X68" s="66"/>
      <c r="Y68" s="288" t="s">
        <v>87</v>
      </c>
      <c r="Z68" s="289"/>
      <c r="AA68" s="66"/>
      <c r="AB68" s="237" t="s">
        <v>283</v>
      </c>
      <c r="AC68" s="239"/>
      <c r="AD68" s="51" t="str">
        <f t="shared" ref="AD68" si="222">A68</f>
        <v>C2</v>
      </c>
      <c r="AE68" s="51" t="str">
        <f t="shared" ref="AE68" si="223">J68</f>
        <v>糙米飯</v>
      </c>
      <c r="AF68" s="51" t="str">
        <f t="shared" ref="AF68" si="224">J69&amp;" "&amp;J70&amp;" "&amp;J71&amp;" "&amp;J72&amp;" "&amp;J73&amp;" "&amp;J74</f>
        <v xml:space="preserve">米 糙米    </v>
      </c>
      <c r="AG68" s="51" t="str">
        <f t="shared" ref="AG68" si="225">M68</f>
        <v>醬瓜豆干</v>
      </c>
      <c r="AH68" s="51" t="str">
        <f t="shared" ref="AH68" si="226">M69&amp;" "&amp;M70&amp;" "&amp;M71&amp;" "&amp;M72&amp;" "&amp;M73&amp;" "&amp;M74</f>
        <v xml:space="preserve">豆干 醃漬花胡瓜 胡蘿蔔 薑  </v>
      </c>
      <c r="AI68" s="51" t="str">
        <f t="shared" ref="AI68" si="227">P68</f>
        <v>鮮燴時蔬</v>
      </c>
      <c r="AJ68" s="51" t="str">
        <f t="shared" ref="AJ68" si="228">P69&amp;" "&amp;P70&amp;" "&amp;P71&amp;" "&amp;P72&amp;" "&amp;P73&amp;" "&amp;P74</f>
        <v xml:space="preserve">冷凍玉米筍 素肉片 脆筍 秀珍菇 薑 </v>
      </c>
      <c r="AK68" s="51" t="str">
        <f t="shared" ref="AK68" si="229">S68</f>
        <v>豆包瓜粒</v>
      </c>
      <c r="AL68" s="51" t="str">
        <f t="shared" ref="AL68" si="230">S69&amp;" "&amp;S70&amp;" "&amp;S71&amp;" "&amp;S72&amp;" "&amp;S73&amp;" "&amp;S74</f>
        <v xml:space="preserve">豆包 冬瓜 胡蘿蔔 薑  </v>
      </c>
      <c r="AM68" s="51" t="str">
        <f t="shared" ref="AM68" si="231">V68</f>
        <v>時蔬</v>
      </c>
      <c r="AN68" s="51" t="str">
        <f t="shared" ref="AN68" si="232">V69&amp;" "&amp;V70&amp;" "&amp;V71&amp;" "&amp;V72&amp;" "&amp;V73&amp;" "&amp;V74</f>
        <v xml:space="preserve">蔬菜 薑    </v>
      </c>
      <c r="AO68" s="51" t="str">
        <f t="shared" ref="AO68" si="233">Y68</f>
        <v>時蔬湯</v>
      </c>
      <c r="AP68" s="51" t="str">
        <f t="shared" ref="AP68" si="234">Y69&amp;" "&amp;Y70&amp;" "&amp;Y71&amp;" "&amp;Y72&amp;" "&amp;Y73&amp;" "&amp;Y74</f>
        <v xml:space="preserve">時蔬 胡蘿蔔 薑 素羊肉  </v>
      </c>
      <c r="AQ68" s="51" t="str">
        <f>AB68</f>
        <v>點心</v>
      </c>
      <c r="AR68" s="51">
        <f>AC68</f>
        <v>0</v>
      </c>
      <c r="AS68" s="228">
        <f t="shared" ref="AS68" si="235">C68</f>
        <v>5</v>
      </c>
      <c r="AT68" s="228">
        <f t="shared" ref="AT68" si="236">H68</f>
        <v>2.5333333333333332</v>
      </c>
      <c r="AU68" s="228">
        <f t="shared" ref="AU68" si="237">E68</f>
        <v>2.5</v>
      </c>
      <c r="AV68" s="228">
        <f t="shared" ref="AV68" si="238">D68</f>
        <v>2.5166666666666666</v>
      </c>
      <c r="AW68" s="228">
        <f t="shared" ref="AW68" si="239">F68</f>
        <v>0</v>
      </c>
      <c r="AX68" s="228">
        <f t="shared" ref="AX68" si="240">G68</f>
        <v>0</v>
      </c>
      <c r="AY68" s="228">
        <f t="shared" ref="AY68" si="241">I68</f>
        <v>715.75</v>
      </c>
    </row>
    <row r="69" spans="1:51" s="229" customFormat="1" ht="15" customHeight="1">
      <c r="A69" s="241"/>
      <c r="B69" s="113"/>
      <c r="C69" s="116"/>
      <c r="D69" s="116"/>
      <c r="E69" s="116"/>
      <c r="F69" s="116"/>
      <c r="G69" s="116"/>
      <c r="H69" s="116"/>
      <c r="I69" s="116"/>
      <c r="J69" s="92" t="s">
        <v>57</v>
      </c>
      <c r="K69" s="92">
        <v>7</v>
      </c>
      <c r="L69" s="145" t="str">
        <f t="shared" ref="L69:L70" si="242">IF(K69,"公斤","")</f>
        <v>公斤</v>
      </c>
      <c r="M69" s="92" t="s">
        <v>106</v>
      </c>
      <c r="N69" s="92">
        <v>7</v>
      </c>
      <c r="O69" s="145" t="str">
        <f t="shared" ref="O69" si="243">IF(N69,"公斤","")</f>
        <v>公斤</v>
      </c>
      <c r="P69" s="94" t="s">
        <v>367</v>
      </c>
      <c r="Q69" s="92">
        <v>2</v>
      </c>
      <c r="R69" s="145" t="str">
        <f t="shared" ref="R69" si="244">IF(Q69,"公斤","")</f>
        <v>公斤</v>
      </c>
      <c r="S69" s="92" t="s">
        <v>69</v>
      </c>
      <c r="T69" s="92">
        <v>1.1000000000000001</v>
      </c>
      <c r="U69" s="145" t="str">
        <f t="shared" ref="U69" si="245">IF(T69,"公斤","")</f>
        <v>公斤</v>
      </c>
      <c r="V69" s="92" t="s">
        <v>48</v>
      </c>
      <c r="W69" s="92">
        <v>7</v>
      </c>
      <c r="X69" s="145" t="str">
        <f t="shared" ref="X69" si="246">IF(W69,"公斤","")</f>
        <v>公斤</v>
      </c>
      <c r="Y69" s="92" t="s">
        <v>55</v>
      </c>
      <c r="Z69" s="92">
        <v>3</v>
      </c>
      <c r="AA69" s="145" t="str">
        <f t="shared" ref="AA69" si="247">IF(Z69,"公斤","")</f>
        <v>公斤</v>
      </c>
      <c r="AB69" s="94" t="s">
        <v>283</v>
      </c>
      <c r="AC69" s="233"/>
      <c r="AD69" s="231"/>
      <c r="AE69" s="231"/>
      <c r="AF69" s="5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</row>
    <row r="70" spans="1:51" s="229" customFormat="1" ht="15" customHeight="1">
      <c r="A70" s="241"/>
      <c r="B70" s="217" t="s">
        <v>557</v>
      </c>
      <c r="C70" s="217">
        <f>C68</f>
        <v>5</v>
      </c>
      <c r="D70" s="217">
        <f>(E70+H70)/2</f>
        <v>1.9833333333333334</v>
      </c>
      <c r="E70" s="217">
        <f>E68-(T70+T71)/10</f>
        <v>1.8</v>
      </c>
      <c r="F70" s="217">
        <f t="shared" ref="F70:G70" si="248">F68</f>
        <v>0</v>
      </c>
      <c r="G70" s="217">
        <f t="shared" si="248"/>
        <v>0</v>
      </c>
      <c r="H70" s="217">
        <f>H68-T69/3</f>
        <v>2.1666666666666665</v>
      </c>
      <c r="I70" s="217">
        <f>C70*70+D70*45+E70*25+H70*75+G70*60+F70*150</f>
        <v>646.75</v>
      </c>
      <c r="J70" s="92" t="s">
        <v>61</v>
      </c>
      <c r="K70" s="92">
        <v>3</v>
      </c>
      <c r="L70" s="145" t="str">
        <f t="shared" si="242"/>
        <v>公斤</v>
      </c>
      <c r="M70" s="92" t="s">
        <v>148</v>
      </c>
      <c r="N70" s="92">
        <v>2</v>
      </c>
      <c r="O70" s="145" t="str">
        <f t="shared" si="27"/>
        <v>公斤</v>
      </c>
      <c r="P70" s="92" t="s">
        <v>458</v>
      </c>
      <c r="Q70" s="92">
        <v>0.5</v>
      </c>
      <c r="R70" s="145" t="str">
        <f t="shared" si="28"/>
        <v>公斤</v>
      </c>
      <c r="S70" s="92" t="s">
        <v>138</v>
      </c>
      <c r="T70" s="92">
        <v>6.5</v>
      </c>
      <c r="U70" s="145" t="str">
        <f t="shared" si="29"/>
        <v>公斤</v>
      </c>
      <c r="V70" s="92" t="s">
        <v>64</v>
      </c>
      <c r="W70" s="92">
        <v>0.05</v>
      </c>
      <c r="X70" s="145" t="str">
        <f t="shared" si="30"/>
        <v>公斤</v>
      </c>
      <c r="Y70" s="92" t="s">
        <v>58</v>
      </c>
      <c r="Z70" s="92">
        <v>0.5</v>
      </c>
      <c r="AA70" s="145" t="str">
        <f t="shared" si="31"/>
        <v>公斤</v>
      </c>
      <c r="AB70" s="94"/>
      <c r="AC70" s="233"/>
      <c r="AD70" s="231"/>
      <c r="AE70" s="231"/>
      <c r="AF70" s="51"/>
      <c r="AG70" s="231"/>
      <c r="AH70" s="231"/>
      <c r="AI70" s="231"/>
      <c r="AJ70" s="231"/>
      <c r="AK70" s="231"/>
      <c r="AL70" s="231"/>
      <c r="AM70" s="231"/>
      <c r="AN70" s="231"/>
      <c r="AO70" s="231"/>
      <c r="AP70" s="231"/>
      <c r="AQ70" s="231"/>
      <c r="AR70" s="231"/>
    </row>
    <row r="71" spans="1:51" s="229" customFormat="1" ht="15" customHeight="1">
      <c r="A71" s="241"/>
      <c r="B71" s="113"/>
      <c r="C71" s="116"/>
      <c r="D71" s="116"/>
      <c r="E71" s="116"/>
      <c r="F71" s="116"/>
      <c r="G71" s="116"/>
      <c r="H71" s="116"/>
      <c r="I71" s="116"/>
      <c r="J71" s="92"/>
      <c r="K71" s="92"/>
      <c r="L71" s="145" t="str">
        <f t="shared" si="26"/>
        <v/>
      </c>
      <c r="M71" s="92" t="s">
        <v>58</v>
      </c>
      <c r="N71" s="92">
        <v>0.5</v>
      </c>
      <c r="O71" s="145" t="str">
        <f t="shared" si="27"/>
        <v>公斤</v>
      </c>
      <c r="P71" s="92" t="s">
        <v>149</v>
      </c>
      <c r="Q71" s="92">
        <v>1.5</v>
      </c>
      <c r="R71" s="145" t="str">
        <f t="shared" si="28"/>
        <v>公斤</v>
      </c>
      <c r="S71" s="92" t="s">
        <v>58</v>
      </c>
      <c r="T71" s="92">
        <v>0.5</v>
      </c>
      <c r="U71" s="145" t="str">
        <f t="shared" si="29"/>
        <v>公斤</v>
      </c>
      <c r="V71" s="92"/>
      <c r="W71" s="92"/>
      <c r="X71" s="145" t="str">
        <f t="shared" si="30"/>
        <v/>
      </c>
      <c r="Y71" s="92" t="s">
        <v>64</v>
      </c>
      <c r="Z71" s="92">
        <v>0.05</v>
      </c>
      <c r="AA71" s="145" t="str">
        <f t="shared" si="31"/>
        <v>公斤</v>
      </c>
      <c r="AB71" s="232"/>
      <c r="AC71" s="233"/>
      <c r="AD71" s="231"/>
      <c r="AE71" s="231"/>
      <c r="AF71" s="5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</row>
    <row r="72" spans="1:51" s="229" customFormat="1" ht="15" customHeight="1">
      <c r="A72" s="241"/>
      <c r="B72" s="113"/>
      <c r="C72" s="116"/>
      <c r="D72" s="116"/>
      <c r="E72" s="116"/>
      <c r="F72" s="116"/>
      <c r="G72" s="116"/>
      <c r="H72" s="116"/>
      <c r="I72" s="116"/>
      <c r="J72" s="92"/>
      <c r="K72" s="92"/>
      <c r="L72" s="145" t="str">
        <f t="shared" si="26"/>
        <v/>
      </c>
      <c r="M72" s="92" t="s">
        <v>64</v>
      </c>
      <c r="N72" s="92">
        <v>0.05</v>
      </c>
      <c r="O72" s="145" t="str">
        <f t="shared" si="27"/>
        <v>公斤</v>
      </c>
      <c r="P72" s="92" t="s">
        <v>73</v>
      </c>
      <c r="Q72" s="92">
        <v>1</v>
      </c>
      <c r="R72" s="145" t="str">
        <f t="shared" si="28"/>
        <v>公斤</v>
      </c>
      <c r="S72" s="92" t="s">
        <v>64</v>
      </c>
      <c r="T72" s="92">
        <v>0.05</v>
      </c>
      <c r="U72" s="145" t="str">
        <f t="shared" si="29"/>
        <v>公斤</v>
      </c>
      <c r="V72" s="92"/>
      <c r="W72" s="92"/>
      <c r="X72" s="145" t="str">
        <f t="shared" si="30"/>
        <v/>
      </c>
      <c r="Y72" s="92" t="s">
        <v>97</v>
      </c>
      <c r="Z72" s="92">
        <v>0.5</v>
      </c>
      <c r="AA72" s="145" t="str">
        <f t="shared" si="31"/>
        <v>公斤</v>
      </c>
      <c r="AB72" s="232"/>
      <c r="AC72" s="233"/>
      <c r="AD72" s="231"/>
      <c r="AE72" s="231"/>
      <c r="AF72" s="5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</row>
    <row r="73" spans="1:51" s="229" customFormat="1" ht="15" customHeight="1">
      <c r="A73" s="241"/>
      <c r="B73" s="113"/>
      <c r="C73" s="116"/>
      <c r="D73" s="116"/>
      <c r="E73" s="116"/>
      <c r="F73" s="116"/>
      <c r="G73" s="116"/>
      <c r="H73" s="116"/>
      <c r="I73" s="116"/>
      <c r="J73" s="92"/>
      <c r="K73" s="92"/>
      <c r="L73" s="145" t="str">
        <f t="shared" si="26"/>
        <v/>
      </c>
      <c r="M73" s="92"/>
      <c r="N73" s="92"/>
      <c r="O73" s="145" t="str">
        <f t="shared" si="27"/>
        <v/>
      </c>
      <c r="P73" s="92" t="s">
        <v>64</v>
      </c>
      <c r="Q73" s="92">
        <v>0.05</v>
      </c>
      <c r="R73" s="145" t="str">
        <f t="shared" si="28"/>
        <v>公斤</v>
      </c>
      <c r="S73" s="92"/>
      <c r="T73" s="92"/>
      <c r="U73" s="145" t="str">
        <f t="shared" si="29"/>
        <v/>
      </c>
      <c r="V73" s="92"/>
      <c r="W73" s="92"/>
      <c r="X73" s="145" t="str">
        <f t="shared" si="30"/>
        <v/>
      </c>
      <c r="Y73" s="92"/>
      <c r="Z73" s="92"/>
      <c r="AA73" s="145" t="str">
        <f t="shared" si="31"/>
        <v/>
      </c>
      <c r="AB73" s="232"/>
      <c r="AC73" s="233"/>
      <c r="AD73" s="231"/>
      <c r="AE73" s="231"/>
      <c r="AF73" s="51"/>
      <c r="AG73" s="231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</row>
    <row r="74" spans="1:51" s="229" customFormat="1" ht="15" customHeight="1" thickBot="1">
      <c r="A74" s="242"/>
      <c r="B74" s="115"/>
      <c r="C74" s="117"/>
      <c r="D74" s="117"/>
      <c r="E74" s="117"/>
      <c r="F74" s="117"/>
      <c r="G74" s="117"/>
      <c r="H74" s="117"/>
      <c r="I74" s="117"/>
      <c r="J74" s="109"/>
      <c r="K74" s="109"/>
      <c r="L74" s="145" t="str">
        <f t="shared" si="26"/>
        <v/>
      </c>
      <c r="M74" s="109"/>
      <c r="N74" s="109"/>
      <c r="O74" s="145" t="str">
        <f t="shared" si="27"/>
        <v/>
      </c>
      <c r="P74" s="109"/>
      <c r="Q74" s="109"/>
      <c r="R74" s="145" t="str">
        <f t="shared" si="28"/>
        <v/>
      </c>
      <c r="S74" s="109"/>
      <c r="T74" s="109"/>
      <c r="U74" s="145" t="str">
        <f t="shared" si="29"/>
        <v/>
      </c>
      <c r="V74" s="109"/>
      <c r="W74" s="109"/>
      <c r="X74" s="145" t="str">
        <f t="shared" si="30"/>
        <v/>
      </c>
      <c r="Y74" s="109"/>
      <c r="Z74" s="109"/>
      <c r="AA74" s="145" t="str">
        <f t="shared" si="31"/>
        <v/>
      </c>
      <c r="AB74" s="234"/>
      <c r="AC74" s="235"/>
      <c r="AD74" s="231"/>
      <c r="AE74" s="231"/>
      <c r="AF74" s="51"/>
      <c r="AG74" s="231"/>
      <c r="AH74" s="231"/>
      <c r="AI74" s="231"/>
      <c r="AJ74" s="231"/>
      <c r="AK74" s="231"/>
      <c r="AL74" s="231"/>
      <c r="AM74" s="231"/>
      <c r="AN74" s="231"/>
      <c r="AO74" s="231"/>
      <c r="AP74" s="231"/>
      <c r="AQ74" s="231"/>
      <c r="AR74" s="231"/>
    </row>
    <row r="75" spans="1:51" s="229" customFormat="1" ht="15" customHeight="1">
      <c r="A75" s="111" t="s">
        <v>15</v>
      </c>
      <c r="B75" s="114" t="s">
        <v>276</v>
      </c>
      <c r="C75" s="112">
        <f>K76/2+K77/2+Q79/8.5</f>
        <v>5.2352941176470589</v>
      </c>
      <c r="D75" s="112">
        <f>(E75+H75)/2</f>
        <v>2.1886363636363635</v>
      </c>
      <c r="E75" s="112">
        <f>(Q77+Q78+T77+T78+W76+Z76)/10</f>
        <v>1.65</v>
      </c>
      <c r="F75" s="112">
        <v>0</v>
      </c>
      <c r="G75" s="112">
        <v>0</v>
      </c>
      <c r="H75" s="112">
        <f>N76/5.5+Q76/1.2+T76/5.5+Z78/8</f>
        <v>2.7272727272727275</v>
      </c>
      <c r="I75" s="112">
        <f>C75*70+D75*45+E75*25+H75*75+G75*60+F75*150</f>
        <v>710.75467914438514</v>
      </c>
      <c r="J75" s="288" t="s">
        <v>150</v>
      </c>
      <c r="K75" s="289"/>
      <c r="L75" s="66"/>
      <c r="M75" s="288" t="s">
        <v>151</v>
      </c>
      <c r="N75" s="289"/>
      <c r="O75" s="66"/>
      <c r="P75" s="288" t="s">
        <v>152</v>
      </c>
      <c r="Q75" s="289"/>
      <c r="R75" s="66"/>
      <c r="S75" s="288" t="s">
        <v>153</v>
      </c>
      <c r="T75" s="289"/>
      <c r="U75" s="66"/>
      <c r="V75" s="288" t="s">
        <v>55</v>
      </c>
      <c r="W75" s="289"/>
      <c r="X75" s="66"/>
      <c r="Y75" s="288" t="s">
        <v>154</v>
      </c>
      <c r="Z75" s="289"/>
      <c r="AA75" s="66"/>
      <c r="AB75" s="237" t="s">
        <v>283</v>
      </c>
      <c r="AC75" s="239"/>
      <c r="AD75" s="51" t="str">
        <f t="shared" ref="AD75" si="249">A75</f>
        <v>C3</v>
      </c>
      <c r="AE75" s="51" t="str">
        <f t="shared" ref="AE75" si="250">J75</f>
        <v>丼飯特餐</v>
      </c>
      <c r="AF75" s="51" t="str">
        <f t="shared" ref="AF75" si="251">J76&amp;" "&amp;J77&amp;" "&amp;J78&amp;" "&amp;J79&amp;" "&amp;J80&amp;" "&amp;J81</f>
        <v xml:space="preserve">米 糙米    </v>
      </c>
      <c r="AG75" s="51" t="str">
        <f t="shared" ref="AG75" si="252">M75</f>
        <v>滷煎蒸炒蛋</v>
      </c>
      <c r="AH75" s="51" t="str">
        <f t="shared" ref="AH75" si="253">M76&amp;" "&amp;M77&amp;" "&amp;M78&amp;" "&amp;M79&amp;" "&amp;M80&amp;" "&amp;M81</f>
        <v xml:space="preserve">雞蛋     </v>
      </c>
      <c r="AI75" s="51" t="str">
        <f t="shared" ref="AI75" si="254">P75</f>
        <v>丼飯配料</v>
      </c>
      <c r="AJ75" s="51" t="str">
        <f t="shared" ref="AJ75" si="255">P76&amp;" "&amp;P77&amp;" "&amp;P78&amp;" "&amp;P79&amp;" "&amp;P80&amp;" "&amp;P81</f>
        <v xml:space="preserve">素絞肉 時蔬 胡蘿蔔 冷凍玉米粒 海苔絲 </v>
      </c>
      <c r="AK75" s="51" t="str">
        <f t="shared" ref="AK75" si="256">S75</f>
        <v>鐵板油腐</v>
      </c>
      <c r="AL75" s="51" t="str">
        <f t="shared" ref="AL75" si="257">S76&amp;" "&amp;S77&amp;" "&amp;S78&amp;" "&amp;S79&amp;" "&amp;S80&amp;" "&amp;S81</f>
        <v xml:space="preserve">四角油豆腐 甜椒(青皮) 胡蘿蔔 薑  </v>
      </c>
      <c r="AM75" s="51" t="str">
        <f t="shared" ref="AM75" si="258">V75</f>
        <v>時蔬</v>
      </c>
      <c r="AN75" s="51" t="str">
        <f t="shared" ref="AN75" si="259">V76&amp;" "&amp;V77&amp;" "&amp;V78&amp;" "&amp;V79&amp;" "&amp;V80&amp;" "&amp;V81</f>
        <v xml:space="preserve">蔬菜 薑    </v>
      </c>
      <c r="AO75" s="51" t="str">
        <f t="shared" ref="AO75" si="260">Y75</f>
        <v>大醬湯</v>
      </c>
      <c r="AP75" s="51" t="str">
        <f t="shared" ref="AP75" si="261">Y76&amp;" "&amp;Y77&amp;" "&amp;Y78&amp;" "&amp;Y79&amp;" "&amp;Y80&amp;" "&amp;Y81</f>
        <v xml:space="preserve">時蔬 味噌    </v>
      </c>
      <c r="AQ75" s="51" t="str">
        <f>AB75</f>
        <v>點心</v>
      </c>
      <c r="AR75" s="51">
        <f>AC75</f>
        <v>0</v>
      </c>
      <c r="AS75" s="228">
        <f t="shared" ref="AS75" si="262">C75</f>
        <v>5.2352941176470589</v>
      </c>
      <c r="AT75" s="228">
        <f t="shared" ref="AT75" si="263">H75</f>
        <v>2.7272727272727275</v>
      </c>
      <c r="AU75" s="228">
        <f t="shared" ref="AU75" si="264">E75</f>
        <v>1.65</v>
      </c>
      <c r="AV75" s="228">
        <f t="shared" ref="AV75" si="265">D75</f>
        <v>2.1886363636363635</v>
      </c>
      <c r="AW75" s="228">
        <f t="shared" ref="AW75" si="266">F75</f>
        <v>0</v>
      </c>
      <c r="AX75" s="228">
        <f t="shared" ref="AX75" si="267">G75</f>
        <v>0</v>
      </c>
      <c r="AY75" s="228">
        <f t="shared" ref="AY75" si="268">I75</f>
        <v>710.75467914438514</v>
      </c>
    </row>
    <row r="76" spans="1:51" s="229" customFormat="1" ht="15" customHeight="1">
      <c r="A76" s="241"/>
      <c r="B76" s="113"/>
      <c r="C76" s="116"/>
      <c r="D76" s="116"/>
      <c r="E76" s="116"/>
      <c r="F76" s="116"/>
      <c r="G76" s="116"/>
      <c r="H76" s="116"/>
      <c r="I76" s="116"/>
      <c r="J76" s="92" t="s">
        <v>57</v>
      </c>
      <c r="K76" s="92">
        <v>7</v>
      </c>
      <c r="L76" s="145" t="str">
        <f t="shared" ref="L76:L137" si="269">IF(K76,"公斤","")</f>
        <v>公斤</v>
      </c>
      <c r="M76" s="92" t="s">
        <v>103</v>
      </c>
      <c r="N76" s="92">
        <v>5.5</v>
      </c>
      <c r="O76" s="145" t="str">
        <f t="shared" ref="O76:O137" si="270">IF(N76,"公斤","")</f>
        <v>公斤</v>
      </c>
      <c r="P76" s="92" t="s">
        <v>129</v>
      </c>
      <c r="Q76" s="92">
        <v>1.2</v>
      </c>
      <c r="R76" s="145" t="str">
        <f t="shared" ref="R76:R137" si="271">IF(Q76,"公斤","")</f>
        <v>公斤</v>
      </c>
      <c r="S76" s="92" t="s">
        <v>125</v>
      </c>
      <c r="T76" s="92">
        <v>4</v>
      </c>
      <c r="U76" s="145" t="str">
        <f t="shared" ref="U76:U137" si="272">IF(T76,"公斤","")</f>
        <v>公斤</v>
      </c>
      <c r="V76" s="92" t="s">
        <v>48</v>
      </c>
      <c r="W76" s="92">
        <v>7</v>
      </c>
      <c r="X76" s="145" t="str">
        <f t="shared" ref="X76:X137" si="273">IF(W76,"公斤","")</f>
        <v>公斤</v>
      </c>
      <c r="Y76" s="92" t="s">
        <v>55</v>
      </c>
      <c r="Z76" s="92">
        <v>4</v>
      </c>
      <c r="AA76" s="145" t="str">
        <f t="shared" ref="AA76:AA137" si="274">IF(Z76,"公斤","")</f>
        <v>公斤</v>
      </c>
      <c r="AB76" s="94" t="s">
        <v>283</v>
      </c>
      <c r="AC76" s="233"/>
      <c r="AD76" s="231"/>
      <c r="AE76" s="231"/>
      <c r="AF76" s="51"/>
      <c r="AG76" s="231"/>
      <c r="AH76" s="231"/>
      <c r="AI76" s="231"/>
      <c r="AJ76" s="231"/>
      <c r="AK76" s="231"/>
      <c r="AL76" s="231"/>
      <c r="AM76" s="231"/>
      <c r="AN76" s="231"/>
      <c r="AO76" s="231"/>
      <c r="AP76" s="231"/>
      <c r="AQ76" s="231"/>
      <c r="AR76" s="231"/>
    </row>
    <row r="77" spans="1:51" s="229" customFormat="1" ht="15" customHeight="1">
      <c r="A77" s="241"/>
      <c r="B77" s="217" t="s">
        <v>557</v>
      </c>
      <c r="C77" s="217">
        <f>C75</f>
        <v>5.2352941176470589</v>
      </c>
      <c r="D77" s="217">
        <f>(E77+H77)/2</f>
        <v>1.7250000000000001</v>
      </c>
      <c r="E77" s="217">
        <f>E75-(T77+T78)/10</f>
        <v>1.45</v>
      </c>
      <c r="F77" s="217">
        <f t="shared" ref="F77:G77" si="275">F75</f>
        <v>0</v>
      </c>
      <c r="G77" s="217">
        <f t="shared" si="275"/>
        <v>0</v>
      </c>
      <c r="H77" s="217">
        <f>H75-T76/5.5</f>
        <v>2</v>
      </c>
      <c r="I77" s="217">
        <f>C77*70+D77*45+E77*25+H77*75+G77*60+F77*150</f>
        <v>630.34558823529414</v>
      </c>
      <c r="J77" s="92" t="s">
        <v>61</v>
      </c>
      <c r="K77" s="92">
        <v>3</v>
      </c>
      <c r="L77" s="145" t="str">
        <f t="shared" si="269"/>
        <v>公斤</v>
      </c>
      <c r="M77" s="92"/>
      <c r="N77" s="92"/>
      <c r="O77" s="145" t="str">
        <f t="shared" si="270"/>
        <v/>
      </c>
      <c r="P77" s="92" t="s">
        <v>55</v>
      </c>
      <c r="Q77" s="92">
        <v>3</v>
      </c>
      <c r="R77" s="145" t="str">
        <f t="shared" si="271"/>
        <v>公斤</v>
      </c>
      <c r="S77" s="92" t="s">
        <v>155</v>
      </c>
      <c r="T77" s="92">
        <v>1</v>
      </c>
      <c r="U77" s="145" t="str">
        <f t="shared" si="272"/>
        <v>公斤</v>
      </c>
      <c r="V77" s="92" t="s">
        <v>64</v>
      </c>
      <c r="W77" s="92">
        <v>0.05</v>
      </c>
      <c r="X77" s="145" t="str">
        <f t="shared" si="273"/>
        <v>公斤</v>
      </c>
      <c r="Y77" s="92" t="s">
        <v>116</v>
      </c>
      <c r="Z77" s="92">
        <v>0.6</v>
      </c>
      <c r="AA77" s="145" t="str">
        <f t="shared" si="274"/>
        <v>公斤</v>
      </c>
      <c r="AB77" s="94"/>
      <c r="AC77" s="233"/>
      <c r="AD77" s="231"/>
      <c r="AE77" s="231"/>
      <c r="AF77" s="51"/>
      <c r="AG77" s="231"/>
      <c r="AH77" s="231"/>
      <c r="AI77" s="231"/>
      <c r="AJ77" s="231"/>
      <c r="AK77" s="231"/>
      <c r="AL77" s="231"/>
      <c r="AM77" s="231"/>
      <c r="AN77" s="231"/>
      <c r="AO77" s="231"/>
      <c r="AP77" s="231"/>
      <c r="AQ77" s="231"/>
      <c r="AR77" s="231"/>
    </row>
    <row r="78" spans="1:51" s="229" customFormat="1" ht="15" customHeight="1">
      <c r="A78" s="241"/>
      <c r="B78" s="113"/>
      <c r="C78" s="116"/>
      <c r="D78" s="116"/>
      <c r="E78" s="116"/>
      <c r="F78" s="116"/>
      <c r="G78" s="116"/>
      <c r="H78" s="116"/>
      <c r="I78" s="116"/>
      <c r="J78" s="92"/>
      <c r="K78" s="92"/>
      <c r="L78" s="145" t="str">
        <f t="shared" si="269"/>
        <v/>
      </c>
      <c r="M78" s="92"/>
      <c r="N78" s="92"/>
      <c r="O78" s="145" t="str">
        <f t="shared" si="270"/>
        <v/>
      </c>
      <c r="P78" s="92" t="s">
        <v>58</v>
      </c>
      <c r="Q78" s="92">
        <v>0.5</v>
      </c>
      <c r="R78" s="145" t="str">
        <f t="shared" si="271"/>
        <v>公斤</v>
      </c>
      <c r="S78" s="92" t="s">
        <v>58</v>
      </c>
      <c r="T78" s="92">
        <v>1</v>
      </c>
      <c r="U78" s="145" t="str">
        <f t="shared" si="272"/>
        <v>公斤</v>
      </c>
      <c r="V78" s="92"/>
      <c r="W78" s="92"/>
      <c r="X78" s="145" t="str">
        <f t="shared" si="273"/>
        <v/>
      </c>
      <c r="Y78" s="92"/>
      <c r="Z78" s="92"/>
      <c r="AA78" s="145" t="str">
        <f t="shared" si="274"/>
        <v/>
      </c>
      <c r="AB78" s="232"/>
      <c r="AC78" s="233"/>
      <c r="AD78" s="231"/>
      <c r="AE78" s="231"/>
      <c r="AF78" s="5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1"/>
    </row>
    <row r="79" spans="1:51" s="229" customFormat="1" ht="15" customHeight="1">
      <c r="A79" s="241"/>
      <c r="B79" s="113"/>
      <c r="C79" s="116"/>
      <c r="D79" s="116"/>
      <c r="E79" s="116"/>
      <c r="F79" s="116"/>
      <c r="G79" s="116"/>
      <c r="H79" s="116"/>
      <c r="I79" s="116"/>
      <c r="J79" s="92"/>
      <c r="K79" s="92"/>
      <c r="L79" s="145" t="str">
        <f t="shared" si="269"/>
        <v/>
      </c>
      <c r="M79" s="92"/>
      <c r="N79" s="92"/>
      <c r="O79" s="145" t="str">
        <f t="shared" si="270"/>
        <v/>
      </c>
      <c r="P79" s="92" t="s">
        <v>67</v>
      </c>
      <c r="Q79" s="92">
        <v>2</v>
      </c>
      <c r="R79" s="145" t="str">
        <f t="shared" si="271"/>
        <v>公斤</v>
      </c>
      <c r="S79" s="92" t="s">
        <v>64</v>
      </c>
      <c r="T79" s="92">
        <v>0.05</v>
      </c>
      <c r="U79" s="145" t="str">
        <f t="shared" si="272"/>
        <v>公斤</v>
      </c>
      <c r="V79" s="92"/>
      <c r="W79" s="92"/>
      <c r="X79" s="145" t="str">
        <f t="shared" si="273"/>
        <v/>
      </c>
      <c r="Y79" s="92"/>
      <c r="Z79" s="92"/>
      <c r="AA79" s="145" t="str">
        <f t="shared" si="274"/>
        <v/>
      </c>
      <c r="AB79" s="232"/>
      <c r="AC79" s="233"/>
      <c r="AD79" s="231"/>
      <c r="AE79" s="231"/>
      <c r="AF79" s="5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  <c r="AQ79" s="231"/>
      <c r="AR79" s="231"/>
    </row>
    <row r="80" spans="1:51" s="229" customFormat="1" ht="15" customHeight="1">
      <c r="A80" s="241"/>
      <c r="B80" s="113"/>
      <c r="C80" s="116"/>
      <c r="D80" s="116"/>
      <c r="E80" s="116"/>
      <c r="F80" s="116"/>
      <c r="G80" s="116"/>
      <c r="H80" s="116"/>
      <c r="I80" s="116"/>
      <c r="J80" s="92"/>
      <c r="K80" s="92"/>
      <c r="L80" s="145" t="str">
        <f t="shared" si="269"/>
        <v/>
      </c>
      <c r="M80" s="92"/>
      <c r="N80" s="92"/>
      <c r="O80" s="145" t="str">
        <f t="shared" si="270"/>
        <v/>
      </c>
      <c r="P80" s="92" t="s">
        <v>156</v>
      </c>
      <c r="Q80" s="92">
        <v>0.04</v>
      </c>
      <c r="R80" s="145" t="str">
        <f t="shared" si="271"/>
        <v>公斤</v>
      </c>
      <c r="S80" s="92"/>
      <c r="T80" s="92"/>
      <c r="U80" s="145" t="str">
        <f t="shared" si="272"/>
        <v/>
      </c>
      <c r="V80" s="92"/>
      <c r="W80" s="92"/>
      <c r="X80" s="145" t="str">
        <f t="shared" si="273"/>
        <v/>
      </c>
      <c r="Y80" s="92"/>
      <c r="Z80" s="92"/>
      <c r="AA80" s="145" t="str">
        <f t="shared" si="274"/>
        <v/>
      </c>
      <c r="AB80" s="232"/>
      <c r="AC80" s="233"/>
      <c r="AD80" s="231"/>
      <c r="AE80" s="231"/>
      <c r="AF80" s="5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</row>
    <row r="81" spans="1:51" s="229" customFormat="1" ht="15" customHeight="1" thickBot="1">
      <c r="A81" s="242"/>
      <c r="B81" s="115"/>
      <c r="C81" s="117"/>
      <c r="D81" s="117"/>
      <c r="E81" s="117"/>
      <c r="F81" s="117"/>
      <c r="G81" s="117"/>
      <c r="H81" s="117"/>
      <c r="I81" s="117"/>
      <c r="J81" s="109"/>
      <c r="K81" s="109"/>
      <c r="L81" s="145" t="str">
        <f t="shared" si="269"/>
        <v/>
      </c>
      <c r="M81" s="109"/>
      <c r="N81" s="109"/>
      <c r="O81" s="145" t="str">
        <f t="shared" si="270"/>
        <v/>
      </c>
      <c r="P81" s="109"/>
      <c r="Q81" s="109"/>
      <c r="R81" s="145" t="str">
        <f t="shared" si="271"/>
        <v/>
      </c>
      <c r="S81" s="109"/>
      <c r="T81" s="109"/>
      <c r="U81" s="145" t="str">
        <f t="shared" si="272"/>
        <v/>
      </c>
      <c r="V81" s="109"/>
      <c r="W81" s="109"/>
      <c r="X81" s="145" t="str">
        <f t="shared" si="273"/>
        <v/>
      </c>
      <c r="Y81" s="109"/>
      <c r="Z81" s="109"/>
      <c r="AA81" s="145" t="str">
        <f t="shared" si="274"/>
        <v/>
      </c>
      <c r="AB81" s="234"/>
      <c r="AC81" s="235"/>
      <c r="AD81" s="231"/>
      <c r="AE81" s="231"/>
      <c r="AF81" s="5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  <c r="AQ81" s="231"/>
      <c r="AR81" s="231"/>
    </row>
    <row r="82" spans="1:51" s="229" customFormat="1" ht="15" customHeight="1">
      <c r="A82" s="111" t="s">
        <v>16</v>
      </c>
      <c r="B82" s="114" t="s">
        <v>276</v>
      </c>
      <c r="C82" s="112">
        <f>K83/2+K84/2+Z83/2</f>
        <v>6</v>
      </c>
      <c r="D82" s="112">
        <f>(E82+H82)/2</f>
        <v>2.1821428571428569</v>
      </c>
      <c r="E82" s="112">
        <f>(N84+N85+Q84+T83+T84+W83)/10</f>
        <v>1.9</v>
      </c>
      <c r="F82" s="112">
        <v>0</v>
      </c>
      <c r="G82" s="112">
        <v>0</v>
      </c>
      <c r="H82" s="112">
        <f>(N83/3.5+Q83/8+Q85/1.2)</f>
        <v>2.4642857142857144</v>
      </c>
      <c r="I82" s="112">
        <f>C82*70+D82*45+E82*25+H82*75+G82*60+F82*150</f>
        <v>750.51785714285711</v>
      </c>
      <c r="J82" s="288" t="s">
        <v>71</v>
      </c>
      <c r="K82" s="289"/>
      <c r="L82" s="66"/>
      <c r="M82" s="288" t="s">
        <v>157</v>
      </c>
      <c r="N82" s="289"/>
      <c r="O82" s="66"/>
      <c r="P82" s="288" t="s">
        <v>459</v>
      </c>
      <c r="Q82" s="289"/>
      <c r="R82" s="66"/>
      <c r="S82" s="288" t="s">
        <v>158</v>
      </c>
      <c r="T82" s="289"/>
      <c r="U82" s="66"/>
      <c r="V82" s="288" t="s">
        <v>55</v>
      </c>
      <c r="W82" s="289"/>
      <c r="X82" s="66"/>
      <c r="Y82" s="288" t="s">
        <v>159</v>
      </c>
      <c r="Z82" s="289"/>
      <c r="AA82" s="66"/>
      <c r="AB82" s="237" t="s">
        <v>283</v>
      </c>
      <c r="AC82" s="239"/>
      <c r="AD82" s="51" t="str">
        <f t="shared" ref="AD82" si="276">A82</f>
        <v>C4</v>
      </c>
      <c r="AE82" s="51" t="str">
        <f t="shared" ref="AE82" si="277">J82</f>
        <v>糙米飯</v>
      </c>
      <c r="AF82" s="51" t="str">
        <f t="shared" ref="AF82" si="278">J83&amp;" "&amp;J84&amp;" "&amp;J85&amp;" "&amp;J86&amp;" "&amp;J87&amp;" "&amp;J88</f>
        <v xml:space="preserve">米 糙米    </v>
      </c>
      <c r="AG82" s="51" t="str">
        <f t="shared" ref="AG82" si="279">M82</f>
        <v>筍乾麵腸</v>
      </c>
      <c r="AH82" s="51" t="str">
        <f t="shared" ref="AH82" si="280">M83&amp;" "&amp;M84&amp;" "&amp;M85&amp;" "&amp;M86&amp;" "&amp;M87&amp;" "&amp;M88</f>
        <v xml:space="preserve">麵腸 麻竹筍干 胡蘿蔔 薑  </v>
      </c>
      <c r="AI82" s="51" t="str">
        <f t="shared" ref="AI82" si="281">P82</f>
        <v>麻婆豆腐</v>
      </c>
      <c r="AJ82" s="51" t="str">
        <f t="shared" ref="AJ82" si="282">P83&amp;" "&amp;P84&amp;" "&amp;P85&amp;" "&amp;P86&amp;" "&amp;P87&amp;" "&amp;P88</f>
        <v xml:space="preserve">豆腐 胡蘿蔔 素絞肉 薑  </v>
      </c>
      <c r="AK82" s="51" t="str">
        <f t="shared" ref="AK82" si="283">S82</f>
        <v>清炒季豆</v>
      </c>
      <c r="AL82" s="51" t="str">
        <f t="shared" ref="AL82" si="284">S83&amp;" "&amp;S84&amp;" "&amp;S85&amp;" "&amp;S86&amp;" "&amp;S87&amp;" "&amp;S88</f>
        <v xml:space="preserve">冷凍菜豆(莢) 胡蘿蔔 薑   </v>
      </c>
      <c r="AM82" s="51" t="str">
        <f t="shared" ref="AM82" si="285">V82</f>
        <v>時蔬</v>
      </c>
      <c r="AN82" s="51" t="str">
        <f t="shared" ref="AN82" si="286">V83&amp;" "&amp;V84&amp;" "&amp;V85&amp;" "&amp;V86&amp;" "&amp;V87&amp;" "&amp;V88</f>
        <v xml:space="preserve">蔬菜 薑    </v>
      </c>
      <c r="AO82" s="51" t="str">
        <f t="shared" ref="AO82" si="287">Y82</f>
        <v>麥仁甜湯</v>
      </c>
      <c r="AP82" s="51" t="str">
        <f t="shared" ref="AP82" si="288">Y83&amp;" "&amp;Y84&amp;" "&amp;Y85&amp;" "&amp;Y86&amp;" "&amp;Y87&amp;" "&amp;Y88</f>
        <v xml:space="preserve">大麥仁 紅砂糖    </v>
      </c>
      <c r="AQ82" s="51" t="str">
        <f>AB82</f>
        <v>點心</v>
      </c>
      <c r="AR82" s="51">
        <f>AC82</f>
        <v>0</v>
      </c>
      <c r="AS82" s="228">
        <f t="shared" ref="AS82" si="289">C82</f>
        <v>6</v>
      </c>
      <c r="AT82" s="228">
        <f t="shared" ref="AT82" si="290">H82</f>
        <v>2.4642857142857144</v>
      </c>
      <c r="AU82" s="228">
        <f t="shared" ref="AU82" si="291">E82</f>
        <v>1.9</v>
      </c>
      <c r="AV82" s="228">
        <f t="shared" ref="AV82" si="292">D82</f>
        <v>2.1821428571428569</v>
      </c>
      <c r="AW82" s="228">
        <f t="shared" ref="AW82" si="293">F82</f>
        <v>0</v>
      </c>
      <c r="AX82" s="228">
        <f t="shared" ref="AX82" si="294">G82</f>
        <v>0</v>
      </c>
      <c r="AY82" s="228">
        <f t="shared" ref="AY82" si="295">I82</f>
        <v>750.51785714285711</v>
      </c>
    </row>
    <row r="83" spans="1:51" s="229" customFormat="1" ht="15" customHeight="1">
      <c r="A83" s="241"/>
      <c r="B83" s="113"/>
      <c r="C83" s="116"/>
      <c r="D83" s="116"/>
      <c r="E83" s="116"/>
      <c r="F83" s="116"/>
      <c r="G83" s="116"/>
      <c r="H83" s="116"/>
      <c r="I83" s="116"/>
      <c r="J83" s="92" t="s">
        <v>57</v>
      </c>
      <c r="K83" s="92">
        <v>7</v>
      </c>
      <c r="L83" s="145" t="str">
        <f t="shared" ref="L83:L84" si="296">IF(K83,"公斤","")</f>
        <v>公斤</v>
      </c>
      <c r="M83" s="92" t="s">
        <v>88</v>
      </c>
      <c r="N83" s="92">
        <v>6</v>
      </c>
      <c r="O83" s="145" t="str">
        <f t="shared" ref="O83" si="297">IF(N83,"公斤","")</f>
        <v>公斤</v>
      </c>
      <c r="P83" s="92" t="s">
        <v>160</v>
      </c>
      <c r="Q83" s="92">
        <v>4</v>
      </c>
      <c r="R83" s="145" t="str">
        <f t="shared" ref="R83" si="298">IF(Q83,"公斤","")</f>
        <v>公斤</v>
      </c>
      <c r="S83" s="92" t="s">
        <v>161</v>
      </c>
      <c r="T83" s="92">
        <v>6</v>
      </c>
      <c r="U83" s="145" t="str">
        <f t="shared" ref="U83" si="299">IF(T83,"公斤","")</f>
        <v>公斤</v>
      </c>
      <c r="V83" s="92" t="s">
        <v>48</v>
      </c>
      <c r="W83" s="92">
        <v>7</v>
      </c>
      <c r="X83" s="145" t="str">
        <f t="shared" ref="X83" si="300">IF(W83,"公斤","")</f>
        <v>公斤</v>
      </c>
      <c r="Y83" s="92" t="s">
        <v>162</v>
      </c>
      <c r="Z83" s="92">
        <v>2</v>
      </c>
      <c r="AA83" s="145" t="str">
        <f t="shared" ref="AA83" si="301">IF(Z83,"公斤","")</f>
        <v>公斤</v>
      </c>
      <c r="AB83" s="94" t="s">
        <v>283</v>
      </c>
      <c r="AC83" s="233"/>
      <c r="AD83" s="231"/>
      <c r="AE83" s="231"/>
      <c r="AF83" s="5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</row>
    <row r="84" spans="1:51" s="229" customFormat="1" ht="15" customHeight="1">
      <c r="A84" s="241"/>
      <c r="B84" s="217" t="s">
        <v>557</v>
      </c>
      <c r="C84" s="217">
        <f>C82</f>
        <v>6</v>
      </c>
      <c r="D84" s="217">
        <f>(E84+H84)/2</f>
        <v>1.8571428571428572</v>
      </c>
      <c r="E84" s="217">
        <f>E82-(T83+T84)/10</f>
        <v>1.25</v>
      </c>
      <c r="F84" s="217">
        <f t="shared" ref="F84:H84" si="302">F82</f>
        <v>0</v>
      </c>
      <c r="G84" s="217">
        <f t="shared" si="302"/>
        <v>0</v>
      </c>
      <c r="H84" s="217">
        <f t="shared" si="302"/>
        <v>2.4642857142857144</v>
      </c>
      <c r="I84" s="217">
        <f>C84*70+D84*45+E84*25+H84*75+G84*60+F84*150</f>
        <v>719.64285714285711</v>
      </c>
      <c r="J84" s="92" t="s">
        <v>61</v>
      </c>
      <c r="K84" s="92">
        <v>3</v>
      </c>
      <c r="L84" s="145" t="str">
        <f t="shared" si="296"/>
        <v>公斤</v>
      </c>
      <c r="M84" s="92" t="s">
        <v>163</v>
      </c>
      <c r="N84" s="92">
        <v>3.5</v>
      </c>
      <c r="O84" s="145" t="str">
        <f t="shared" si="270"/>
        <v>公斤</v>
      </c>
      <c r="P84" s="92" t="s">
        <v>58</v>
      </c>
      <c r="Q84" s="92">
        <v>1</v>
      </c>
      <c r="R84" s="145" t="str">
        <f t="shared" si="271"/>
        <v>公斤</v>
      </c>
      <c r="S84" s="92" t="s">
        <v>58</v>
      </c>
      <c r="T84" s="92">
        <v>0.5</v>
      </c>
      <c r="U84" s="145" t="str">
        <f t="shared" si="272"/>
        <v>公斤</v>
      </c>
      <c r="V84" s="92" t="s">
        <v>64</v>
      </c>
      <c r="W84" s="92">
        <v>0.05</v>
      </c>
      <c r="X84" s="145" t="str">
        <f t="shared" si="273"/>
        <v>公斤</v>
      </c>
      <c r="Y84" s="92" t="s">
        <v>130</v>
      </c>
      <c r="Z84" s="92">
        <v>1</v>
      </c>
      <c r="AA84" s="145" t="str">
        <f t="shared" si="274"/>
        <v>公斤</v>
      </c>
      <c r="AB84" s="94"/>
      <c r="AC84" s="233"/>
      <c r="AD84" s="231"/>
      <c r="AE84" s="231"/>
      <c r="AF84" s="5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</row>
    <row r="85" spans="1:51" s="229" customFormat="1" ht="15" customHeight="1">
      <c r="A85" s="241"/>
      <c r="B85" s="113"/>
      <c r="C85" s="116"/>
      <c r="D85" s="116"/>
      <c r="E85" s="116"/>
      <c r="F85" s="116"/>
      <c r="G85" s="116"/>
      <c r="H85" s="116"/>
      <c r="I85" s="116"/>
      <c r="J85" s="92"/>
      <c r="K85" s="92"/>
      <c r="L85" s="145" t="str">
        <f t="shared" si="269"/>
        <v/>
      </c>
      <c r="M85" s="92" t="s">
        <v>58</v>
      </c>
      <c r="N85" s="92">
        <v>1</v>
      </c>
      <c r="O85" s="145" t="str">
        <f t="shared" si="270"/>
        <v>公斤</v>
      </c>
      <c r="P85" s="92" t="s">
        <v>129</v>
      </c>
      <c r="Q85" s="92">
        <v>0.3</v>
      </c>
      <c r="R85" s="145" t="str">
        <f t="shared" si="271"/>
        <v>公斤</v>
      </c>
      <c r="S85" s="92" t="s">
        <v>64</v>
      </c>
      <c r="T85" s="92">
        <v>0.05</v>
      </c>
      <c r="U85" s="145" t="str">
        <f t="shared" si="272"/>
        <v>公斤</v>
      </c>
      <c r="V85" s="92"/>
      <c r="W85" s="92"/>
      <c r="X85" s="145" t="str">
        <f t="shared" si="273"/>
        <v/>
      </c>
      <c r="Y85" s="92"/>
      <c r="Z85" s="92"/>
      <c r="AA85" s="145" t="str">
        <f t="shared" si="274"/>
        <v/>
      </c>
      <c r="AB85" s="232"/>
      <c r="AC85" s="233"/>
      <c r="AD85" s="231"/>
      <c r="AE85" s="231"/>
      <c r="AF85" s="5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</row>
    <row r="86" spans="1:51" s="229" customFormat="1" ht="15" customHeight="1">
      <c r="A86" s="241"/>
      <c r="B86" s="113"/>
      <c r="C86" s="116"/>
      <c r="D86" s="116"/>
      <c r="E86" s="116"/>
      <c r="F86" s="116"/>
      <c r="G86" s="116"/>
      <c r="H86" s="116"/>
      <c r="I86" s="116"/>
      <c r="J86" s="92"/>
      <c r="K86" s="92"/>
      <c r="L86" s="145" t="str">
        <f t="shared" si="269"/>
        <v/>
      </c>
      <c r="M86" s="92" t="s">
        <v>64</v>
      </c>
      <c r="N86" s="92">
        <v>0.05</v>
      </c>
      <c r="O86" s="145" t="str">
        <f t="shared" si="270"/>
        <v>公斤</v>
      </c>
      <c r="P86" s="92" t="s">
        <v>64</v>
      </c>
      <c r="Q86" s="92">
        <v>0.05</v>
      </c>
      <c r="R86" s="145" t="str">
        <f t="shared" si="271"/>
        <v>公斤</v>
      </c>
      <c r="S86" s="92"/>
      <c r="T86" s="92"/>
      <c r="U86" s="145" t="str">
        <f t="shared" si="272"/>
        <v/>
      </c>
      <c r="V86" s="92"/>
      <c r="W86" s="92"/>
      <c r="X86" s="145" t="str">
        <f t="shared" si="273"/>
        <v/>
      </c>
      <c r="Y86" s="92"/>
      <c r="Z86" s="92"/>
      <c r="AA86" s="145" t="str">
        <f t="shared" si="274"/>
        <v/>
      </c>
      <c r="AB86" s="232"/>
      <c r="AC86" s="233"/>
      <c r="AD86" s="231"/>
      <c r="AE86" s="231"/>
      <c r="AF86" s="5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</row>
    <row r="87" spans="1:51" s="229" customFormat="1" ht="15" customHeight="1">
      <c r="A87" s="241"/>
      <c r="B87" s="113"/>
      <c r="C87" s="116"/>
      <c r="D87" s="116"/>
      <c r="E87" s="116"/>
      <c r="F87" s="116"/>
      <c r="G87" s="116"/>
      <c r="H87" s="116"/>
      <c r="I87" s="116"/>
      <c r="J87" s="92"/>
      <c r="K87" s="92"/>
      <c r="L87" s="145" t="str">
        <f t="shared" si="269"/>
        <v/>
      </c>
      <c r="M87" s="92"/>
      <c r="N87" s="92"/>
      <c r="O87" s="145" t="str">
        <f t="shared" si="270"/>
        <v/>
      </c>
      <c r="P87" s="92"/>
      <c r="Q87" s="92"/>
      <c r="R87" s="145" t="str">
        <f t="shared" si="271"/>
        <v/>
      </c>
      <c r="S87" s="92"/>
      <c r="T87" s="92"/>
      <c r="U87" s="145" t="str">
        <f t="shared" si="272"/>
        <v/>
      </c>
      <c r="V87" s="92"/>
      <c r="W87" s="92"/>
      <c r="X87" s="145" t="str">
        <f t="shared" si="273"/>
        <v/>
      </c>
      <c r="Y87" s="92"/>
      <c r="Z87" s="92"/>
      <c r="AA87" s="145" t="str">
        <f t="shared" si="274"/>
        <v/>
      </c>
      <c r="AB87" s="232"/>
      <c r="AC87" s="233"/>
      <c r="AD87" s="231"/>
      <c r="AE87" s="231"/>
      <c r="AF87" s="5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</row>
    <row r="88" spans="1:51" s="229" customFormat="1" ht="15" customHeight="1" thickBot="1">
      <c r="A88" s="242"/>
      <c r="B88" s="115"/>
      <c r="C88" s="117"/>
      <c r="D88" s="117"/>
      <c r="E88" s="117"/>
      <c r="F88" s="117"/>
      <c r="G88" s="117"/>
      <c r="H88" s="117"/>
      <c r="I88" s="117"/>
      <c r="J88" s="109"/>
      <c r="K88" s="109"/>
      <c r="L88" s="145" t="str">
        <f t="shared" si="269"/>
        <v/>
      </c>
      <c r="M88" s="109"/>
      <c r="N88" s="109"/>
      <c r="O88" s="145" t="str">
        <f t="shared" si="270"/>
        <v/>
      </c>
      <c r="P88" s="109"/>
      <c r="Q88" s="109"/>
      <c r="R88" s="145" t="str">
        <f t="shared" si="271"/>
        <v/>
      </c>
      <c r="S88" s="109"/>
      <c r="T88" s="109"/>
      <c r="U88" s="145" t="str">
        <f t="shared" si="272"/>
        <v/>
      </c>
      <c r="V88" s="109"/>
      <c r="W88" s="109"/>
      <c r="X88" s="145" t="str">
        <f t="shared" si="273"/>
        <v/>
      </c>
      <c r="Y88" s="109"/>
      <c r="Z88" s="109"/>
      <c r="AA88" s="145" t="str">
        <f t="shared" si="274"/>
        <v/>
      </c>
      <c r="AB88" s="234"/>
      <c r="AC88" s="235"/>
      <c r="AD88" s="231"/>
      <c r="AE88" s="231"/>
      <c r="AF88" s="5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31"/>
    </row>
    <row r="89" spans="1:51" s="229" customFormat="1" ht="15" customHeight="1">
      <c r="A89" s="111" t="s">
        <v>17</v>
      </c>
      <c r="B89" s="114" t="s">
        <v>276</v>
      </c>
      <c r="C89" s="112">
        <f>K90/2+K91/2+Z91/1.5+Q91/8.5</f>
        <v>6.7098039215686276</v>
      </c>
      <c r="D89" s="112">
        <f>(E89+H89)/2</f>
        <v>2.8378787878787879</v>
      </c>
      <c r="E89" s="112">
        <f>(N91+Q91+T91+W90+Z90*5+Q92)/10+T90*8/10</f>
        <v>3.0999999999999996</v>
      </c>
      <c r="F89" s="112">
        <v>0</v>
      </c>
      <c r="G89" s="112">
        <v>0</v>
      </c>
      <c r="H89" s="112">
        <f>N90/3+Q90/5.5</f>
        <v>2.5757575757575757</v>
      </c>
      <c r="I89" s="112">
        <f>C89*70+D89*45+E89*25+H89*75+G89*60+F89*150</f>
        <v>868.07263814616749</v>
      </c>
      <c r="J89" s="290" t="s">
        <v>484</v>
      </c>
      <c r="K89" s="289"/>
      <c r="L89" s="66"/>
      <c r="M89" s="288" t="s">
        <v>460</v>
      </c>
      <c r="N89" s="289"/>
      <c r="O89" s="66"/>
      <c r="P89" s="237" t="s">
        <v>386</v>
      </c>
      <c r="Q89" s="238"/>
      <c r="R89" s="66"/>
      <c r="S89" s="237" t="s">
        <v>165</v>
      </c>
      <c r="T89" s="238"/>
      <c r="U89" s="66"/>
      <c r="V89" s="288" t="s">
        <v>55</v>
      </c>
      <c r="W89" s="289"/>
      <c r="X89" s="66"/>
      <c r="Y89" s="247" t="s">
        <v>501</v>
      </c>
      <c r="Z89" s="292"/>
      <c r="AA89" s="66"/>
      <c r="AB89" s="237" t="s">
        <v>283</v>
      </c>
      <c r="AC89" s="227" t="s">
        <v>56</v>
      </c>
      <c r="AD89" s="51" t="str">
        <f t="shared" ref="AD89" si="303">A89</f>
        <v>C5</v>
      </c>
      <c r="AE89" s="51" t="str">
        <f t="shared" ref="AE89" si="304">J89</f>
        <v>紫米飯</v>
      </c>
      <c r="AF89" s="51" t="str">
        <f t="shared" ref="AF89" si="305">J90&amp;" "&amp;J91&amp;" "&amp;J92&amp;" "&amp;J93&amp;" "&amp;J94&amp;" "&amp;J95</f>
        <v xml:space="preserve">米 黑秈糯米    </v>
      </c>
      <c r="AG89" s="51" t="str">
        <f t="shared" ref="AG89" si="306">M89</f>
        <v>豆包甘藍</v>
      </c>
      <c r="AH89" s="51" t="str">
        <f t="shared" ref="AH89" si="307">M90&amp;" "&amp;M91&amp;" "&amp;M92&amp;" "&amp;M93&amp;" "&amp;M94&amp;" "&amp;M95</f>
        <v xml:space="preserve">豆包 甘藍 薑   </v>
      </c>
      <c r="AI89" s="51" t="str">
        <f t="shared" ref="AI89" si="308">P89</f>
        <v>玉米炒蛋</v>
      </c>
      <c r="AJ89" s="51" t="str">
        <f t="shared" ref="AJ89" si="309">P90&amp;" "&amp;P91&amp;" "&amp;P92&amp;" "&amp;P93&amp;" "&amp;P94&amp;" "&amp;P95</f>
        <v xml:space="preserve">雞蛋 冷凍玉米粒 胡蘿蔔 薑  </v>
      </c>
      <c r="AK89" s="51" t="str">
        <f t="shared" ref="AK89" si="310">S89</f>
        <v>菇拌海帶</v>
      </c>
      <c r="AL89" s="51" t="str">
        <f t="shared" ref="AL89" si="311">S90&amp;" "&amp;S91&amp;" "&amp;S92&amp;" "&amp;S93&amp;" "&amp;S94&amp;" "&amp;S95</f>
        <v xml:space="preserve">乾裙帶菜 金針菇 薑   </v>
      </c>
      <c r="AM89" s="51" t="str">
        <f t="shared" ref="AM89" si="312">V89</f>
        <v>時蔬</v>
      </c>
      <c r="AN89" s="51" t="str">
        <f t="shared" ref="AN89" si="313">V90&amp;" "&amp;V91&amp;" "&amp;V92&amp;" "&amp;V93&amp;" "&amp;V94&amp;" "&amp;V95</f>
        <v xml:space="preserve">蔬菜 薑    </v>
      </c>
      <c r="AO89" s="51" t="str">
        <f t="shared" ref="AO89" si="314">Y89</f>
        <v>四神湯</v>
      </c>
      <c r="AP89" s="51" t="str">
        <f t="shared" ref="AP89" si="315">Y90&amp;" "&amp;Y91&amp;" "&amp;Y92&amp;" "&amp;Y93&amp;" "&amp;Y94&amp;" "&amp;Y95</f>
        <v xml:space="preserve">四神 白蘿蔔 薑   </v>
      </c>
      <c r="AQ89" s="51" t="str">
        <f>AB89</f>
        <v>點心</v>
      </c>
      <c r="AR89" s="51" t="str">
        <f>AC89</f>
        <v>有機豆奶</v>
      </c>
      <c r="AS89" s="228">
        <f t="shared" ref="AS89" si="316">C89</f>
        <v>6.7098039215686276</v>
      </c>
      <c r="AT89" s="228">
        <f t="shared" ref="AT89" si="317">H89</f>
        <v>2.5757575757575757</v>
      </c>
      <c r="AU89" s="228">
        <f t="shared" ref="AU89" si="318">E89</f>
        <v>3.0999999999999996</v>
      </c>
      <c r="AV89" s="228">
        <f t="shared" ref="AV89" si="319">D89</f>
        <v>2.8378787878787879</v>
      </c>
      <c r="AW89" s="228">
        <f t="shared" ref="AW89" si="320">F89</f>
        <v>0</v>
      </c>
      <c r="AX89" s="228">
        <f t="shared" ref="AX89" si="321">G89</f>
        <v>0</v>
      </c>
      <c r="AY89" s="228">
        <f t="shared" ref="AY89" si="322">I89</f>
        <v>868.07263814616749</v>
      </c>
    </row>
    <row r="90" spans="1:51" s="229" customFormat="1" ht="15" customHeight="1">
      <c r="A90" s="241"/>
      <c r="B90" s="113"/>
      <c r="C90" s="116"/>
      <c r="D90" s="116"/>
      <c r="E90" s="116"/>
      <c r="F90" s="116"/>
      <c r="G90" s="116"/>
      <c r="H90" s="116"/>
      <c r="I90" s="116"/>
      <c r="J90" s="92" t="s">
        <v>57</v>
      </c>
      <c r="K90" s="92">
        <v>10</v>
      </c>
      <c r="L90" s="145" t="str">
        <f t="shared" ref="L90:L91" si="323">IF(K90,"公斤","")</f>
        <v>公斤</v>
      </c>
      <c r="M90" s="92" t="s">
        <v>69</v>
      </c>
      <c r="N90" s="92">
        <v>5</v>
      </c>
      <c r="O90" s="145" t="str">
        <f t="shared" ref="O90" si="324">IF(N90,"公斤","")</f>
        <v>公斤</v>
      </c>
      <c r="P90" s="94" t="s">
        <v>28</v>
      </c>
      <c r="Q90" s="94">
        <v>5</v>
      </c>
      <c r="R90" s="145" t="str">
        <f t="shared" ref="R90" si="325">IF(Q90,"公斤","")</f>
        <v>公斤</v>
      </c>
      <c r="S90" s="94" t="s">
        <v>167</v>
      </c>
      <c r="T90" s="94">
        <v>1</v>
      </c>
      <c r="U90" s="145" t="str">
        <f t="shared" ref="U90" si="326">IF(T90,"公斤","")</f>
        <v>公斤</v>
      </c>
      <c r="V90" s="92" t="s">
        <v>48</v>
      </c>
      <c r="W90" s="92">
        <v>7</v>
      </c>
      <c r="X90" s="145" t="str">
        <f t="shared" ref="X90" si="327">IF(W90,"公斤","")</f>
        <v>公斤</v>
      </c>
      <c r="Y90" s="133" t="s">
        <v>502</v>
      </c>
      <c r="Z90" s="132">
        <v>2</v>
      </c>
      <c r="AA90" s="145" t="str">
        <f t="shared" ref="AA90" si="328">IF(Z90,"公斤","")</f>
        <v>公斤</v>
      </c>
      <c r="AB90" s="94" t="s">
        <v>283</v>
      </c>
      <c r="AC90" s="230" t="s">
        <v>56</v>
      </c>
      <c r="AD90" s="231"/>
      <c r="AE90" s="231"/>
      <c r="AF90" s="5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  <c r="AR90" s="231"/>
    </row>
    <row r="91" spans="1:51" s="229" customFormat="1" ht="15" customHeight="1">
      <c r="A91" s="241"/>
      <c r="B91" s="217" t="s">
        <v>557</v>
      </c>
      <c r="C91" s="217">
        <f>C89</f>
        <v>6.7098039215686276</v>
      </c>
      <c r="D91" s="217">
        <f>(E91+H91)/2</f>
        <v>2.7378787878787874</v>
      </c>
      <c r="E91" s="217">
        <f>E89-(T90+T91)/10</f>
        <v>2.8999999999999995</v>
      </c>
      <c r="F91" s="217">
        <f t="shared" ref="F91:G91" si="329">F89</f>
        <v>0</v>
      </c>
      <c r="G91" s="217">
        <f t="shared" si="329"/>
        <v>0</v>
      </c>
      <c r="H91" s="217">
        <f>H89</f>
        <v>2.5757575757575757</v>
      </c>
      <c r="I91" s="217">
        <f>C91*70+D91*45+E91*25+H91*75+G91*60+F91*150</f>
        <v>858.57263814616749</v>
      </c>
      <c r="J91" s="231" t="s">
        <v>418</v>
      </c>
      <c r="K91" s="92">
        <v>0.4</v>
      </c>
      <c r="L91" s="145" t="str">
        <f t="shared" si="323"/>
        <v>公斤</v>
      </c>
      <c r="M91" s="92" t="s">
        <v>63</v>
      </c>
      <c r="N91" s="92">
        <v>3</v>
      </c>
      <c r="O91" s="145" t="str">
        <f t="shared" si="270"/>
        <v>公斤</v>
      </c>
      <c r="P91" s="92" t="s">
        <v>67</v>
      </c>
      <c r="Q91" s="94">
        <v>1.5</v>
      </c>
      <c r="R91" s="145" t="str">
        <f t="shared" si="271"/>
        <v>公斤</v>
      </c>
      <c r="S91" s="94" t="s">
        <v>170</v>
      </c>
      <c r="T91" s="94">
        <v>1</v>
      </c>
      <c r="U91" s="145" t="str">
        <f t="shared" si="272"/>
        <v>公斤</v>
      </c>
      <c r="V91" s="92" t="s">
        <v>64</v>
      </c>
      <c r="W91" s="92">
        <v>0.05</v>
      </c>
      <c r="X91" s="145" t="str">
        <f t="shared" si="273"/>
        <v>公斤</v>
      </c>
      <c r="Y91" s="133" t="s">
        <v>503</v>
      </c>
      <c r="Z91" s="132">
        <v>2</v>
      </c>
      <c r="AA91" s="145" t="str">
        <f t="shared" si="274"/>
        <v>公斤</v>
      </c>
      <c r="AB91" s="94"/>
      <c r="AC91" s="233"/>
      <c r="AD91" s="231"/>
      <c r="AE91" s="231"/>
      <c r="AF91" s="5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</row>
    <row r="92" spans="1:51" s="229" customFormat="1" ht="15" customHeight="1">
      <c r="A92" s="241"/>
      <c r="B92" s="113"/>
      <c r="C92" s="116"/>
      <c r="D92" s="116"/>
      <c r="E92" s="116"/>
      <c r="F92" s="116"/>
      <c r="G92" s="116"/>
      <c r="H92" s="116"/>
      <c r="I92" s="116"/>
      <c r="J92" s="92"/>
      <c r="K92" s="92"/>
      <c r="L92" s="145" t="str">
        <f t="shared" si="269"/>
        <v/>
      </c>
      <c r="M92" s="92" t="s">
        <v>64</v>
      </c>
      <c r="N92" s="92">
        <v>0.05</v>
      </c>
      <c r="O92" s="145" t="str">
        <f t="shared" si="270"/>
        <v>公斤</v>
      </c>
      <c r="P92" s="92" t="s">
        <v>58</v>
      </c>
      <c r="Q92" s="92">
        <v>0.5</v>
      </c>
      <c r="R92" s="145" t="str">
        <f t="shared" si="271"/>
        <v>公斤</v>
      </c>
      <c r="S92" s="92" t="s">
        <v>64</v>
      </c>
      <c r="T92" s="92">
        <v>0.05</v>
      </c>
      <c r="U92" s="145" t="str">
        <f t="shared" si="272"/>
        <v>公斤</v>
      </c>
      <c r="V92" s="92"/>
      <c r="W92" s="92"/>
      <c r="X92" s="145" t="str">
        <f t="shared" si="273"/>
        <v/>
      </c>
      <c r="Y92" s="132" t="s">
        <v>477</v>
      </c>
      <c r="Z92" s="132">
        <v>0.05</v>
      </c>
      <c r="AA92" s="145" t="str">
        <f t="shared" si="274"/>
        <v>公斤</v>
      </c>
      <c r="AB92" s="232"/>
      <c r="AC92" s="233"/>
      <c r="AD92" s="231"/>
      <c r="AE92" s="231"/>
      <c r="AF92" s="5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</row>
    <row r="93" spans="1:51" s="229" customFormat="1" ht="15" customHeight="1">
      <c r="A93" s="241"/>
      <c r="B93" s="113"/>
      <c r="C93" s="116"/>
      <c r="D93" s="116"/>
      <c r="E93" s="116"/>
      <c r="F93" s="116"/>
      <c r="G93" s="116"/>
      <c r="H93" s="116"/>
      <c r="I93" s="116"/>
      <c r="J93" s="92"/>
      <c r="K93" s="92"/>
      <c r="L93" s="145" t="str">
        <f t="shared" si="269"/>
        <v/>
      </c>
      <c r="M93" s="92"/>
      <c r="N93" s="92"/>
      <c r="O93" s="145" t="str">
        <f t="shared" si="270"/>
        <v/>
      </c>
      <c r="P93" s="92" t="s">
        <v>64</v>
      </c>
      <c r="Q93" s="92">
        <v>0.05</v>
      </c>
      <c r="R93" s="145" t="str">
        <f t="shared" si="271"/>
        <v>公斤</v>
      </c>
      <c r="S93" s="232"/>
      <c r="T93" s="232"/>
      <c r="U93" s="145" t="str">
        <f t="shared" si="272"/>
        <v/>
      </c>
      <c r="V93" s="92"/>
      <c r="W93" s="92"/>
      <c r="X93" s="145" t="str">
        <f t="shared" si="273"/>
        <v/>
      </c>
      <c r="Y93" s="128"/>
      <c r="Z93" s="128"/>
      <c r="AA93" s="145" t="str">
        <f t="shared" si="274"/>
        <v/>
      </c>
      <c r="AB93" s="232"/>
      <c r="AC93" s="233"/>
      <c r="AD93" s="231"/>
      <c r="AE93" s="231"/>
      <c r="AF93" s="5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31"/>
    </row>
    <row r="94" spans="1:51" s="229" customFormat="1" ht="15" customHeight="1">
      <c r="A94" s="241"/>
      <c r="B94" s="113"/>
      <c r="C94" s="116"/>
      <c r="D94" s="116"/>
      <c r="E94" s="116"/>
      <c r="F94" s="116"/>
      <c r="G94" s="116"/>
      <c r="H94" s="116"/>
      <c r="I94" s="116"/>
      <c r="J94" s="92"/>
      <c r="K94" s="92"/>
      <c r="L94" s="145" t="str">
        <f t="shared" si="269"/>
        <v/>
      </c>
      <c r="M94" s="92"/>
      <c r="N94" s="92"/>
      <c r="O94" s="145" t="str">
        <f t="shared" si="270"/>
        <v/>
      </c>
      <c r="P94" s="94"/>
      <c r="Q94" s="94"/>
      <c r="R94" s="145" t="str">
        <f t="shared" si="271"/>
        <v/>
      </c>
      <c r="S94" s="232"/>
      <c r="T94" s="232"/>
      <c r="U94" s="145" t="str">
        <f t="shared" si="272"/>
        <v/>
      </c>
      <c r="V94" s="92"/>
      <c r="W94" s="92"/>
      <c r="X94" s="145" t="str">
        <f t="shared" si="273"/>
        <v/>
      </c>
      <c r="Y94" s="128"/>
      <c r="Z94" s="128"/>
      <c r="AA94" s="145" t="str">
        <f t="shared" si="274"/>
        <v/>
      </c>
      <c r="AB94" s="232"/>
      <c r="AC94" s="233"/>
      <c r="AD94" s="231"/>
      <c r="AE94" s="231"/>
      <c r="AF94" s="5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  <c r="AR94" s="231"/>
    </row>
    <row r="95" spans="1:51" s="229" customFormat="1" ht="15" customHeight="1" thickBot="1">
      <c r="A95" s="242"/>
      <c r="B95" s="115"/>
      <c r="C95" s="117"/>
      <c r="D95" s="117"/>
      <c r="E95" s="117"/>
      <c r="F95" s="117"/>
      <c r="G95" s="117"/>
      <c r="H95" s="117"/>
      <c r="I95" s="117"/>
      <c r="J95" s="109"/>
      <c r="K95" s="109"/>
      <c r="L95" s="145" t="str">
        <f t="shared" si="269"/>
        <v/>
      </c>
      <c r="M95" s="109"/>
      <c r="N95" s="109"/>
      <c r="O95" s="145" t="str">
        <f t="shared" si="270"/>
        <v/>
      </c>
      <c r="P95" s="234"/>
      <c r="Q95" s="234"/>
      <c r="R95" s="145" t="str">
        <f t="shared" si="271"/>
        <v/>
      </c>
      <c r="S95" s="234"/>
      <c r="T95" s="234"/>
      <c r="U95" s="145" t="str">
        <f t="shared" si="272"/>
        <v/>
      </c>
      <c r="V95" s="109"/>
      <c r="W95" s="109"/>
      <c r="X95" s="145" t="str">
        <f t="shared" si="273"/>
        <v/>
      </c>
      <c r="Y95" s="129"/>
      <c r="Z95" s="129"/>
      <c r="AA95" s="145" t="str">
        <f t="shared" si="274"/>
        <v/>
      </c>
      <c r="AB95" s="234"/>
      <c r="AC95" s="235"/>
      <c r="AD95" s="231"/>
      <c r="AE95" s="231"/>
      <c r="AF95" s="5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  <c r="AR95" s="231"/>
    </row>
    <row r="96" spans="1:51" s="229" customFormat="1" ht="15" customHeight="1">
      <c r="A96" s="111" t="s">
        <v>18</v>
      </c>
      <c r="B96" s="114" t="s">
        <v>276</v>
      </c>
      <c r="C96" s="112">
        <f>K97/2</f>
        <v>5</v>
      </c>
      <c r="D96" s="112">
        <f>(E96+H96)/2</f>
        <v>2.6333333333333333</v>
      </c>
      <c r="E96" s="112">
        <f>(N98+N99+N100+Q98+Q99+T99+W97+Z97+Z99)/10</f>
        <v>1.9</v>
      </c>
      <c r="F96" s="112">
        <v>0</v>
      </c>
      <c r="G96" s="112">
        <v>0</v>
      </c>
      <c r="H96" s="112">
        <f>N97/3+Q97/1.2+T97/5+T98/4</f>
        <v>3.3666666666666667</v>
      </c>
      <c r="I96" s="112">
        <f>C96*70+D96*45+E96*25+H96*75+G96*60+F96*150</f>
        <v>768.5</v>
      </c>
      <c r="J96" s="288" t="s">
        <v>99</v>
      </c>
      <c r="K96" s="289"/>
      <c r="L96" s="66"/>
      <c r="M96" s="293" t="s">
        <v>490</v>
      </c>
      <c r="N96" s="294"/>
      <c r="O96" s="66"/>
      <c r="P96" s="195" t="s">
        <v>506</v>
      </c>
      <c r="Q96" s="238"/>
      <c r="R96" s="66"/>
      <c r="S96" s="288" t="s">
        <v>172</v>
      </c>
      <c r="T96" s="289"/>
      <c r="U96" s="66"/>
      <c r="V96" s="288" t="s">
        <v>55</v>
      </c>
      <c r="W96" s="289"/>
      <c r="X96" s="66"/>
      <c r="Y96" s="288" t="s">
        <v>173</v>
      </c>
      <c r="Z96" s="289"/>
      <c r="AA96" s="66"/>
      <c r="AB96" s="237" t="s">
        <v>283</v>
      </c>
      <c r="AC96" s="239"/>
      <c r="AD96" s="51" t="str">
        <f t="shared" ref="AD96" si="330">A96</f>
        <v>D1</v>
      </c>
      <c r="AE96" s="51" t="str">
        <f t="shared" ref="AE96" si="331">J96</f>
        <v>白米飯</v>
      </c>
      <c r="AF96" s="51" t="str">
        <f t="shared" ref="AF96" si="332">J97&amp;" "&amp;J98&amp;" "&amp;J99&amp;" "&amp;J100&amp;" "&amp;J101&amp;" "&amp;J102</f>
        <v xml:space="preserve">米     </v>
      </c>
      <c r="AG96" s="51" t="str">
        <f t="shared" ref="AG96" si="333">M96</f>
        <v>香炸豆包</v>
      </c>
      <c r="AH96" s="51" t="str">
        <f t="shared" ref="AH96" si="334">M97&amp;" "&amp;M98&amp;" "&amp;M99&amp;" "&amp;M100&amp;" "&amp;M101&amp;" "&amp;M102</f>
        <v xml:space="preserve">豆包     </v>
      </c>
      <c r="AI96" s="51" t="str">
        <f t="shared" ref="AI96" si="335">P96</f>
        <v>絞若冬瓜</v>
      </c>
      <c r="AJ96" s="51" t="str">
        <f t="shared" ref="AJ96" si="336">P97&amp;" "&amp;P98&amp;" "&amp;P99&amp;" "&amp;P100&amp;" "&amp;P101&amp;" "&amp;P102</f>
        <v xml:space="preserve">素肉 冬瓜 胡蘿蔔 薑  </v>
      </c>
      <c r="AK96" s="51" t="str">
        <f t="shared" ref="AK96" si="337">S96</f>
        <v>毛豆干丁</v>
      </c>
      <c r="AL96" s="51" t="str">
        <f t="shared" ref="AL96" si="338">S97&amp;" "&amp;S98&amp;" "&amp;S99&amp;" "&amp;S100&amp;" "&amp;S101&amp;" "&amp;S102</f>
        <v xml:space="preserve">冷凍毛豆仁 豆干 胡蘿蔔 生鮮花生仁 香油 </v>
      </c>
      <c r="AM96" s="51" t="str">
        <f t="shared" ref="AM96" si="339">V96</f>
        <v>時蔬</v>
      </c>
      <c r="AN96" s="51" t="str">
        <f t="shared" ref="AN96" si="340">V97&amp;" "&amp;V98&amp;" "&amp;V99&amp;" "&amp;V100&amp;" "&amp;V101&amp;" "&amp;V102</f>
        <v xml:space="preserve">蔬菜 薑    </v>
      </c>
      <c r="AO96" s="51" t="str">
        <f t="shared" ref="AO96" si="341">Y96</f>
        <v>蘿蔔湯</v>
      </c>
      <c r="AP96" s="51" t="str">
        <f t="shared" ref="AP96" si="342">Y97&amp;" "&amp;Y98&amp;" "&amp;Y99&amp;" "&amp;Y100&amp;" "&amp;Y101&amp;" "&amp;Y102</f>
        <v xml:space="preserve">白蘿蔔 薑 素羊肉   </v>
      </c>
      <c r="AQ96" s="51" t="str">
        <f>AB96</f>
        <v>點心</v>
      </c>
      <c r="AR96" s="51">
        <f>AC96</f>
        <v>0</v>
      </c>
      <c r="AS96" s="228">
        <f t="shared" ref="AS96" si="343">C96</f>
        <v>5</v>
      </c>
      <c r="AT96" s="228">
        <f t="shared" ref="AT96" si="344">H96</f>
        <v>3.3666666666666667</v>
      </c>
      <c r="AU96" s="228">
        <f t="shared" ref="AU96" si="345">E96</f>
        <v>1.9</v>
      </c>
      <c r="AV96" s="228">
        <f t="shared" ref="AV96" si="346">D96</f>
        <v>2.6333333333333333</v>
      </c>
      <c r="AW96" s="228">
        <f t="shared" ref="AW96" si="347">F96</f>
        <v>0</v>
      </c>
      <c r="AX96" s="228">
        <f t="shared" ref="AX96" si="348">G96</f>
        <v>0</v>
      </c>
      <c r="AY96" s="228">
        <f t="shared" ref="AY96" si="349">I96</f>
        <v>768.5</v>
      </c>
    </row>
    <row r="97" spans="1:51" s="229" customFormat="1" ht="15" customHeight="1">
      <c r="A97" s="241"/>
      <c r="B97" s="113"/>
      <c r="C97" s="116"/>
      <c r="D97" s="116"/>
      <c r="E97" s="116"/>
      <c r="F97" s="116"/>
      <c r="G97" s="116"/>
      <c r="H97" s="116"/>
      <c r="I97" s="116"/>
      <c r="J97" s="92" t="s">
        <v>57</v>
      </c>
      <c r="K97" s="92">
        <v>10</v>
      </c>
      <c r="L97" s="145" t="str">
        <f t="shared" ref="L97:L98" si="350">IF(K97,"公斤","")</f>
        <v>公斤</v>
      </c>
      <c r="M97" s="128" t="s">
        <v>491</v>
      </c>
      <c r="N97" s="128">
        <v>6</v>
      </c>
      <c r="O97" s="145" t="str">
        <f t="shared" ref="O97" si="351">IF(N97,"公斤","")</f>
        <v>公斤</v>
      </c>
      <c r="P97" s="94" t="s">
        <v>461</v>
      </c>
      <c r="Q97" s="94">
        <v>0.2</v>
      </c>
      <c r="R97" s="145" t="str">
        <f t="shared" ref="R97" si="352">IF(Q97,"公斤","")</f>
        <v>公斤</v>
      </c>
      <c r="S97" s="92" t="s">
        <v>108</v>
      </c>
      <c r="T97" s="92">
        <v>1</v>
      </c>
      <c r="U97" s="145" t="str">
        <f t="shared" ref="U97" si="353">IF(T97,"公斤","")</f>
        <v>公斤</v>
      </c>
      <c r="V97" s="92" t="s">
        <v>48</v>
      </c>
      <c r="W97" s="92">
        <v>7</v>
      </c>
      <c r="X97" s="145" t="str">
        <f t="shared" ref="X97" si="354">IF(W97,"公斤","")</f>
        <v>公斤</v>
      </c>
      <c r="Y97" s="92" t="s">
        <v>65</v>
      </c>
      <c r="Z97" s="92">
        <v>3.5</v>
      </c>
      <c r="AA97" s="145" t="str">
        <f t="shared" ref="AA97" si="355">IF(Z97,"公斤","")</f>
        <v>公斤</v>
      </c>
      <c r="AB97" s="94" t="s">
        <v>283</v>
      </c>
      <c r="AC97" s="233"/>
      <c r="AD97" s="231"/>
      <c r="AE97" s="231"/>
      <c r="AF97" s="5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</row>
    <row r="98" spans="1:51" s="229" customFormat="1" ht="15" customHeight="1">
      <c r="A98" s="241"/>
      <c r="B98" s="217" t="s">
        <v>557</v>
      </c>
      <c r="C98" s="217">
        <f>C96</f>
        <v>5</v>
      </c>
      <c r="D98" s="217">
        <f>(E98+H98)/2</f>
        <v>2.2083333333333335</v>
      </c>
      <c r="E98" s="217">
        <f>E96-(T99)/10</f>
        <v>1.8499999999999999</v>
      </c>
      <c r="F98" s="217">
        <f t="shared" ref="F98:G98" si="356">F96</f>
        <v>0</v>
      </c>
      <c r="G98" s="217">
        <f t="shared" si="356"/>
        <v>0</v>
      </c>
      <c r="H98" s="217">
        <f>H96-T98/4+T97/5</f>
        <v>2.5666666666666669</v>
      </c>
      <c r="I98" s="217">
        <f>C98*70+D98*45+E98*25+H98*75+G98*60+F98*150</f>
        <v>688.125</v>
      </c>
      <c r="J98" s="92"/>
      <c r="K98" s="92"/>
      <c r="L98" s="145" t="str">
        <f t="shared" si="350"/>
        <v/>
      </c>
      <c r="M98" s="128"/>
      <c r="N98" s="128"/>
      <c r="O98" s="145" t="str">
        <f t="shared" si="270"/>
        <v/>
      </c>
      <c r="P98" s="94" t="s">
        <v>353</v>
      </c>
      <c r="Q98" s="94">
        <v>7</v>
      </c>
      <c r="R98" s="145" t="str">
        <f t="shared" si="271"/>
        <v>公斤</v>
      </c>
      <c r="S98" s="92" t="s">
        <v>106</v>
      </c>
      <c r="T98" s="92">
        <v>4</v>
      </c>
      <c r="U98" s="145" t="str">
        <f t="shared" si="272"/>
        <v>公斤</v>
      </c>
      <c r="V98" s="92" t="s">
        <v>64</v>
      </c>
      <c r="W98" s="92">
        <v>0.05</v>
      </c>
      <c r="X98" s="145" t="str">
        <f t="shared" si="273"/>
        <v>公斤</v>
      </c>
      <c r="Y98" s="92" t="s">
        <v>64</v>
      </c>
      <c r="Z98" s="92">
        <v>0.05</v>
      </c>
      <c r="AA98" s="145" t="str">
        <f t="shared" si="274"/>
        <v>公斤</v>
      </c>
      <c r="AB98" s="94"/>
      <c r="AC98" s="233"/>
      <c r="AD98" s="231"/>
      <c r="AE98" s="231"/>
      <c r="AF98" s="5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31"/>
    </row>
    <row r="99" spans="1:51" s="229" customFormat="1" ht="15" customHeight="1">
      <c r="A99" s="241"/>
      <c r="B99" s="113"/>
      <c r="C99" s="116"/>
      <c r="D99" s="116"/>
      <c r="E99" s="116"/>
      <c r="F99" s="116"/>
      <c r="G99" s="116"/>
      <c r="H99" s="116"/>
      <c r="I99" s="116"/>
      <c r="J99" s="92"/>
      <c r="K99" s="92"/>
      <c r="L99" s="145" t="str">
        <f t="shared" si="269"/>
        <v/>
      </c>
      <c r="M99" s="128"/>
      <c r="N99" s="128"/>
      <c r="O99" s="145" t="str">
        <f t="shared" si="270"/>
        <v/>
      </c>
      <c r="P99" s="94" t="s">
        <v>8</v>
      </c>
      <c r="Q99" s="94">
        <v>0.5</v>
      </c>
      <c r="R99" s="145" t="str">
        <f t="shared" si="271"/>
        <v>公斤</v>
      </c>
      <c r="S99" s="92" t="s">
        <v>58</v>
      </c>
      <c r="T99" s="92">
        <v>0.5</v>
      </c>
      <c r="U99" s="145" t="str">
        <f t="shared" si="272"/>
        <v>公斤</v>
      </c>
      <c r="V99" s="92"/>
      <c r="W99" s="92"/>
      <c r="X99" s="145" t="str">
        <f t="shared" si="273"/>
        <v/>
      </c>
      <c r="Y99" s="92" t="s">
        <v>97</v>
      </c>
      <c r="Z99" s="92">
        <v>0.5</v>
      </c>
      <c r="AA99" s="145" t="str">
        <f t="shared" si="274"/>
        <v>公斤</v>
      </c>
      <c r="AB99" s="232"/>
      <c r="AC99" s="233"/>
      <c r="AD99" s="231"/>
      <c r="AE99" s="231"/>
      <c r="AF99" s="5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  <c r="AR99" s="231"/>
    </row>
    <row r="100" spans="1:51" s="229" customFormat="1" ht="15" customHeight="1">
      <c r="A100" s="241"/>
      <c r="B100" s="113"/>
      <c r="C100" s="116"/>
      <c r="D100" s="116"/>
      <c r="E100" s="116"/>
      <c r="F100" s="116"/>
      <c r="G100" s="116"/>
      <c r="H100" s="116"/>
      <c r="I100" s="116"/>
      <c r="J100" s="92"/>
      <c r="K100" s="92"/>
      <c r="L100" s="145" t="str">
        <f t="shared" si="269"/>
        <v/>
      </c>
      <c r="M100" s="128"/>
      <c r="N100" s="128"/>
      <c r="O100" s="145" t="str">
        <f t="shared" si="270"/>
        <v/>
      </c>
      <c r="P100" s="92" t="s">
        <v>64</v>
      </c>
      <c r="Q100" s="92">
        <v>0.05</v>
      </c>
      <c r="R100" s="145" t="str">
        <f t="shared" si="271"/>
        <v>公斤</v>
      </c>
      <c r="S100" s="92" t="s">
        <v>175</v>
      </c>
      <c r="T100" s="92">
        <v>1</v>
      </c>
      <c r="U100" s="145" t="str">
        <f t="shared" si="272"/>
        <v>公斤</v>
      </c>
      <c r="V100" s="92"/>
      <c r="W100" s="92"/>
      <c r="X100" s="145" t="str">
        <f t="shared" si="273"/>
        <v/>
      </c>
      <c r="Y100" s="92"/>
      <c r="Z100" s="92"/>
      <c r="AA100" s="145" t="str">
        <f t="shared" si="274"/>
        <v/>
      </c>
      <c r="AB100" s="232"/>
      <c r="AC100" s="233"/>
      <c r="AD100" s="231"/>
      <c r="AE100" s="231"/>
      <c r="AF100" s="5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  <c r="AR100" s="231"/>
    </row>
    <row r="101" spans="1:51" s="229" customFormat="1" ht="15" customHeight="1">
      <c r="A101" s="241"/>
      <c r="B101" s="113"/>
      <c r="C101" s="116"/>
      <c r="D101" s="116"/>
      <c r="E101" s="116"/>
      <c r="F101" s="116"/>
      <c r="G101" s="116"/>
      <c r="H101" s="116"/>
      <c r="I101" s="116"/>
      <c r="J101" s="92"/>
      <c r="K101" s="92"/>
      <c r="L101" s="145" t="str">
        <f t="shared" si="269"/>
        <v/>
      </c>
      <c r="M101" s="128"/>
      <c r="N101" s="128"/>
      <c r="O101" s="145" t="str">
        <f t="shared" si="270"/>
        <v/>
      </c>
      <c r="P101" s="94"/>
      <c r="Q101" s="94"/>
      <c r="R101" s="145" t="str">
        <f t="shared" si="271"/>
        <v/>
      </c>
      <c r="S101" s="92" t="s">
        <v>176</v>
      </c>
      <c r="T101" s="92"/>
      <c r="U101" s="145" t="str">
        <f t="shared" si="272"/>
        <v/>
      </c>
      <c r="V101" s="92"/>
      <c r="W101" s="92"/>
      <c r="X101" s="145" t="str">
        <f t="shared" si="273"/>
        <v/>
      </c>
      <c r="Y101" s="92"/>
      <c r="Z101" s="92"/>
      <c r="AA101" s="145" t="str">
        <f t="shared" si="274"/>
        <v/>
      </c>
      <c r="AB101" s="232"/>
      <c r="AC101" s="233"/>
      <c r="AD101" s="231"/>
      <c r="AE101" s="231"/>
      <c r="AF101" s="5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  <c r="AR101" s="231"/>
    </row>
    <row r="102" spans="1:51" s="229" customFormat="1" ht="15" customHeight="1" thickBot="1">
      <c r="A102" s="242"/>
      <c r="B102" s="115"/>
      <c r="C102" s="117"/>
      <c r="D102" s="117"/>
      <c r="E102" s="117"/>
      <c r="F102" s="117"/>
      <c r="G102" s="117"/>
      <c r="H102" s="117"/>
      <c r="I102" s="117"/>
      <c r="J102" s="109"/>
      <c r="K102" s="109"/>
      <c r="L102" s="145" t="str">
        <f t="shared" si="269"/>
        <v/>
      </c>
      <c r="M102" s="129"/>
      <c r="N102" s="129"/>
      <c r="O102" s="145" t="str">
        <f t="shared" si="270"/>
        <v/>
      </c>
      <c r="P102" s="234"/>
      <c r="Q102" s="234"/>
      <c r="R102" s="145" t="str">
        <f t="shared" si="271"/>
        <v/>
      </c>
      <c r="S102" s="109"/>
      <c r="T102" s="109"/>
      <c r="U102" s="145" t="str">
        <f t="shared" si="272"/>
        <v/>
      </c>
      <c r="V102" s="109"/>
      <c r="W102" s="109"/>
      <c r="X102" s="145" t="str">
        <f t="shared" si="273"/>
        <v/>
      </c>
      <c r="Y102" s="109"/>
      <c r="Z102" s="109"/>
      <c r="AA102" s="145" t="str">
        <f t="shared" si="274"/>
        <v/>
      </c>
      <c r="AB102" s="234"/>
      <c r="AC102" s="235"/>
      <c r="AD102" s="231"/>
      <c r="AE102" s="231"/>
      <c r="AF102" s="5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  <c r="AR102" s="231"/>
    </row>
    <row r="103" spans="1:51" s="229" customFormat="1" ht="15" customHeight="1">
      <c r="A103" s="111" t="s">
        <v>19</v>
      </c>
      <c r="B103" s="114" t="s">
        <v>276</v>
      </c>
      <c r="C103" s="112">
        <f>K104/2+K105/2</f>
        <v>5</v>
      </c>
      <c r="D103" s="112">
        <f>(E103+H103)/2</f>
        <v>2.2129090909090907</v>
      </c>
      <c r="E103" s="112">
        <f>E105+T105/10</f>
        <v>2.3039999999999998</v>
      </c>
      <c r="F103" s="112">
        <v>0</v>
      </c>
      <c r="G103" s="112">
        <v>0</v>
      </c>
      <c r="H103" s="112">
        <f>N104/5.5+Q106/1.2+T104/55</f>
        <v>2.1218181818181816</v>
      </c>
      <c r="I103" s="112">
        <f>C103*70+D103*45+E103*25+H103*75+G103*60+F103*150</f>
        <v>666.31727272727267</v>
      </c>
      <c r="J103" s="288" t="s">
        <v>71</v>
      </c>
      <c r="K103" s="289"/>
      <c r="L103" s="66"/>
      <c r="M103" s="288" t="s">
        <v>177</v>
      </c>
      <c r="N103" s="289"/>
      <c r="O103" s="66"/>
      <c r="P103" s="288" t="s">
        <v>462</v>
      </c>
      <c r="Q103" s="289"/>
      <c r="R103" s="66"/>
      <c r="S103" s="288" t="s">
        <v>178</v>
      </c>
      <c r="T103" s="289"/>
      <c r="U103" s="66"/>
      <c r="V103" s="288" t="s">
        <v>55</v>
      </c>
      <c r="W103" s="289"/>
      <c r="X103" s="66"/>
      <c r="Y103" s="237" t="s">
        <v>308</v>
      </c>
      <c r="Z103" s="238"/>
      <c r="AA103" s="66"/>
      <c r="AB103" s="237" t="s">
        <v>283</v>
      </c>
      <c r="AC103" s="239"/>
      <c r="AD103" s="51" t="str">
        <f t="shared" ref="AD103" si="357">A103</f>
        <v>D2</v>
      </c>
      <c r="AE103" s="51" t="str">
        <f t="shared" ref="AE103" si="358">J103</f>
        <v>糙米飯</v>
      </c>
      <c r="AF103" s="51" t="str">
        <f t="shared" ref="AF103" si="359">J104&amp;" "&amp;J105&amp;" "&amp;J106&amp;" "&amp;J107&amp;" "&amp;J108&amp;" "&amp;J109</f>
        <v xml:space="preserve">米 糙米    </v>
      </c>
      <c r="AG103" s="51" t="str">
        <f t="shared" ref="AG103" si="360">M103</f>
        <v>薑汁油腐</v>
      </c>
      <c r="AH103" s="51" t="str">
        <f t="shared" ref="AH103" si="361">M104&amp;" "&amp;M105&amp;" "&amp;M106&amp;" "&amp;M107&amp;" "&amp;M108&amp;" "&amp;M109</f>
        <v xml:space="preserve">四角油豆腐 甘藍 薑   </v>
      </c>
      <c r="AI103" s="51" t="str">
        <f t="shared" ref="AI103" si="362">P103</f>
        <v>塔香海根</v>
      </c>
      <c r="AJ103" s="51" t="str">
        <f t="shared" ref="AJ103" si="363">P104&amp;" "&amp;P105&amp;" "&amp;P106&amp;" "&amp;P107&amp;" "&amp;P108&amp;" "&amp;P109</f>
        <v xml:space="preserve">乾海帶 九層塔 素肉絲 薑  </v>
      </c>
      <c r="AK103" s="51" t="str">
        <f t="shared" ref="AK103" si="364">S103</f>
        <v>紅仁炒蛋</v>
      </c>
      <c r="AL103" s="51" t="str">
        <f t="shared" ref="AL103" si="365">S104&amp;" "&amp;S105&amp;" "&amp;S106&amp;" "&amp;S107&amp;" "&amp;S108&amp;" "&amp;S109</f>
        <v xml:space="preserve">雞蛋 胡蘿蔔 薑   </v>
      </c>
      <c r="AM103" s="51" t="str">
        <f t="shared" ref="AM103" si="366">V103</f>
        <v>時蔬</v>
      </c>
      <c r="AN103" s="51" t="str">
        <f t="shared" ref="AN103" si="367">V104&amp;" "&amp;V105&amp;" "&amp;V106&amp;" "&amp;V107&amp;" "&amp;V108&amp;" "&amp;V109</f>
        <v xml:space="preserve">蔬菜 薑    </v>
      </c>
      <c r="AO103" s="51" t="str">
        <f t="shared" ref="AO103" si="368">Y103</f>
        <v>時蔬湯</v>
      </c>
      <c r="AP103" s="51" t="str">
        <f t="shared" ref="AP103" si="369">Y104&amp;" "&amp;Y105&amp;" "&amp;Y106&amp;" "&amp;Y107&amp;" "&amp;Y108&amp;" "&amp;Y109</f>
        <v xml:space="preserve">時蔬 素羊肉 薑 枸杞  </v>
      </c>
      <c r="AQ103" s="51" t="str">
        <f>AB103</f>
        <v>點心</v>
      </c>
      <c r="AR103" s="51">
        <f>AC103</f>
        <v>0</v>
      </c>
      <c r="AS103" s="228">
        <f t="shared" ref="AS103" si="370">C103</f>
        <v>5</v>
      </c>
      <c r="AT103" s="228">
        <f t="shared" ref="AT103" si="371">H103</f>
        <v>2.1218181818181816</v>
      </c>
      <c r="AU103" s="228">
        <f t="shared" ref="AU103" si="372">E103</f>
        <v>2.3039999999999998</v>
      </c>
      <c r="AV103" s="228">
        <f t="shared" ref="AV103" si="373">D103</f>
        <v>2.2129090909090907</v>
      </c>
      <c r="AW103" s="228">
        <f t="shared" ref="AW103" si="374">F103</f>
        <v>0</v>
      </c>
      <c r="AX103" s="228">
        <f t="shared" ref="AX103" si="375">G103</f>
        <v>0</v>
      </c>
      <c r="AY103" s="228">
        <f t="shared" ref="AY103" si="376">I103</f>
        <v>666.31727272727267</v>
      </c>
    </row>
    <row r="104" spans="1:51" s="229" customFormat="1" ht="15" customHeight="1">
      <c r="A104" s="241"/>
      <c r="B104" s="113"/>
      <c r="C104" s="116"/>
      <c r="D104" s="116"/>
      <c r="E104" s="116"/>
      <c r="F104" s="116"/>
      <c r="G104" s="116"/>
      <c r="H104" s="116"/>
      <c r="I104" s="116"/>
      <c r="J104" s="92" t="s">
        <v>57</v>
      </c>
      <c r="K104" s="92">
        <v>7</v>
      </c>
      <c r="L104" s="145" t="str">
        <f t="shared" ref="L104:L105" si="377">IF(K104,"公斤","")</f>
        <v>公斤</v>
      </c>
      <c r="M104" s="92" t="s">
        <v>125</v>
      </c>
      <c r="N104" s="92">
        <v>6</v>
      </c>
      <c r="O104" s="145" t="str">
        <f t="shared" ref="O104" si="378">IF(N104,"公斤","")</f>
        <v>公斤</v>
      </c>
      <c r="P104" s="92" t="s">
        <v>208</v>
      </c>
      <c r="Q104" s="92">
        <v>3.6</v>
      </c>
      <c r="R104" s="145" t="str">
        <f t="shared" ref="R104" si="379">IF(Q104,"公斤","")</f>
        <v>公斤</v>
      </c>
      <c r="S104" s="92" t="s">
        <v>103</v>
      </c>
      <c r="T104" s="92">
        <v>1.7</v>
      </c>
      <c r="U104" s="145" t="str">
        <f t="shared" ref="U104" si="380">IF(T104,"公斤","")</f>
        <v>公斤</v>
      </c>
      <c r="V104" s="92" t="s">
        <v>48</v>
      </c>
      <c r="W104" s="92">
        <v>7</v>
      </c>
      <c r="X104" s="145" t="str">
        <f t="shared" ref="X104" si="381">IF(W104,"公斤","")</f>
        <v>公斤</v>
      </c>
      <c r="Y104" s="94" t="s">
        <v>92</v>
      </c>
      <c r="Z104" s="94">
        <v>3.5</v>
      </c>
      <c r="AA104" s="145" t="str">
        <f t="shared" ref="AA104" si="382">IF(Z104,"公斤","")</f>
        <v>公斤</v>
      </c>
      <c r="AB104" s="94" t="s">
        <v>283</v>
      </c>
      <c r="AC104" s="233"/>
      <c r="AD104" s="231"/>
      <c r="AE104" s="231"/>
      <c r="AF104" s="5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</row>
    <row r="105" spans="1:51" s="229" customFormat="1" ht="15" customHeight="1">
      <c r="A105" s="243"/>
      <c r="B105" s="217" t="s">
        <v>557</v>
      </c>
      <c r="C105" s="217">
        <f>C103</f>
        <v>5</v>
      </c>
      <c r="D105" s="217">
        <f>(E105+H105)/2</f>
        <v>1.8083636363636362</v>
      </c>
      <c r="E105" s="217">
        <f>(N105+Q104*1.4+W104+Z104+Z105)/10</f>
        <v>1.8039999999999998</v>
      </c>
      <c r="F105" s="217">
        <f t="shared" ref="F105:G105" si="383">F103</f>
        <v>0</v>
      </c>
      <c r="G105" s="217">
        <f t="shared" si="383"/>
        <v>0</v>
      </c>
      <c r="H105" s="217">
        <f>H103-T104/5.5</f>
        <v>1.8127272727272725</v>
      </c>
      <c r="I105" s="217">
        <f>C105*70+D105*45+E105*25+H105*75+G105*60+F105*150</f>
        <v>612.43090909090915</v>
      </c>
      <c r="J105" s="92" t="s">
        <v>61</v>
      </c>
      <c r="K105" s="92">
        <v>3</v>
      </c>
      <c r="L105" s="145" t="str">
        <f t="shared" si="377"/>
        <v>公斤</v>
      </c>
      <c r="M105" s="92" t="s">
        <v>63</v>
      </c>
      <c r="N105" s="92">
        <v>2</v>
      </c>
      <c r="O105" s="145" t="str">
        <f t="shared" si="270"/>
        <v>公斤</v>
      </c>
      <c r="P105" s="92" t="s">
        <v>78</v>
      </c>
      <c r="Q105" s="92">
        <v>0.05</v>
      </c>
      <c r="R105" s="145" t="str">
        <f t="shared" si="271"/>
        <v>公斤</v>
      </c>
      <c r="S105" s="92" t="s">
        <v>58</v>
      </c>
      <c r="T105" s="92">
        <v>5</v>
      </c>
      <c r="U105" s="145" t="str">
        <f t="shared" si="272"/>
        <v>公斤</v>
      </c>
      <c r="V105" s="92" t="s">
        <v>64</v>
      </c>
      <c r="W105" s="92">
        <v>0.05</v>
      </c>
      <c r="X105" s="145" t="str">
        <f t="shared" si="273"/>
        <v>公斤</v>
      </c>
      <c r="Y105" s="94" t="s">
        <v>463</v>
      </c>
      <c r="Z105" s="94">
        <v>0.5</v>
      </c>
      <c r="AA105" s="145" t="str">
        <f t="shared" si="274"/>
        <v>公斤</v>
      </c>
      <c r="AB105" s="94"/>
      <c r="AC105" s="233"/>
      <c r="AD105" s="231"/>
      <c r="AE105" s="231"/>
      <c r="AF105" s="5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</row>
    <row r="106" spans="1:51" s="229" customFormat="1" ht="15" customHeight="1">
      <c r="A106" s="241"/>
      <c r="B106" s="113"/>
      <c r="C106" s="116"/>
      <c r="D106" s="116"/>
      <c r="E106" s="116"/>
      <c r="F106" s="116"/>
      <c r="G106" s="116"/>
      <c r="H106" s="116"/>
      <c r="I106" s="116"/>
      <c r="J106" s="92"/>
      <c r="K106" s="92"/>
      <c r="L106" s="145" t="str">
        <f t="shared" si="269"/>
        <v/>
      </c>
      <c r="M106" s="92" t="s">
        <v>64</v>
      </c>
      <c r="N106" s="92">
        <v>0.05</v>
      </c>
      <c r="O106" s="145" t="str">
        <f t="shared" si="270"/>
        <v>公斤</v>
      </c>
      <c r="P106" s="92" t="s">
        <v>80</v>
      </c>
      <c r="Q106" s="92">
        <v>1.2</v>
      </c>
      <c r="R106" s="145" t="str">
        <f t="shared" si="271"/>
        <v>公斤</v>
      </c>
      <c r="S106" s="92" t="s">
        <v>64</v>
      </c>
      <c r="T106" s="92">
        <v>0.05</v>
      </c>
      <c r="U106" s="145" t="str">
        <f t="shared" si="272"/>
        <v>公斤</v>
      </c>
      <c r="V106" s="92"/>
      <c r="W106" s="92"/>
      <c r="X106" s="145" t="str">
        <f t="shared" si="273"/>
        <v/>
      </c>
      <c r="Y106" s="94" t="s">
        <v>117</v>
      </c>
      <c r="Z106" s="94">
        <v>0.05</v>
      </c>
      <c r="AA106" s="145" t="str">
        <f t="shared" si="274"/>
        <v>公斤</v>
      </c>
      <c r="AB106" s="232"/>
      <c r="AC106" s="233"/>
      <c r="AD106" s="231"/>
      <c r="AE106" s="231"/>
      <c r="AF106" s="5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  <c r="AR106" s="231"/>
    </row>
    <row r="107" spans="1:51" s="229" customFormat="1" ht="15" customHeight="1">
      <c r="A107" s="241"/>
      <c r="B107" s="113"/>
      <c r="C107" s="116"/>
      <c r="D107" s="116"/>
      <c r="E107" s="116"/>
      <c r="F107" s="116"/>
      <c r="G107" s="116"/>
      <c r="H107" s="116"/>
      <c r="I107" s="116"/>
      <c r="J107" s="92"/>
      <c r="K107" s="92"/>
      <c r="L107" s="145" t="str">
        <f t="shared" si="269"/>
        <v/>
      </c>
      <c r="M107" s="92"/>
      <c r="N107" s="92"/>
      <c r="O107" s="145" t="str">
        <f t="shared" si="270"/>
        <v/>
      </c>
      <c r="P107" s="92" t="s">
        <v>64</v>
      </c>
      <c r="Q107" s="92">
        <v>0.05</v>
      </c>
      <c r="R107" s="145" t="str">
        <f t="shared" si="271"/>
        <v>公斤</v>
      </c>
      <c r="S107" s="92"/>
      <c r="T107" s="92"/>
      <c r="U107" s="145" t="str">
        <f t="shared" si="272"/>
        <v/>
      </c>
      <c r="V107" s="92"/>
      <c r="W107" s="92"/>
      <c r="X107" s="145" t="str">
        <f t="shared" si="273"/>
        <v/>
      </c>
      <c r="Y107" s="94" t="s">
        <v>179</v>
      </c>
      <c r="Z107" s="94"/>
      <c r="AA107" s="145" t="str">
        <f t="shared" si="274"/>
        <v/>
      </c>
      <c r="AB107" s="232"/>
      <c r="AC107" s="233"/>
      <c r="AD107" s="231"/>
      <c r="AE107" s="231"/>
      <c r="AF107" s="5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</row>
    <row r="108" spans="1:51" s="229" customFormat="1" ht="15" customHeight="1">
      <c r="A108" s="241"/>
      <c r="B108" s="113"/>
      <c r="C108" s="116"/>
      <c r="D108" s="116"/>
      <c r="E108" s="116"/>
      <c r="F108" s="116"/>
      <c r="G108" s="116"/>
      <c r="H108" s="116"/>
      <c r="I108" s="116"/>
      <c r="J108" s="92"/>
      <c r="K108" s="92"/>
      <c r="L108" s="145" t="str">
        <f t="shared" si="269"/>
        <v/>
      </c>
      <c r="M108" s="92"/>
      <c r="N108" s="92"/>
      <c r="O108" s="145" t="str">
        <f t="shared" si="270"/>
        <v/>
      </c>
      <c r="P108" s="92"/>
      <c r="Q108" s="92"/>
      <c r="R108" s="145" t="str">
        <f t="shared" si="271"/>
        <v/>
      </c>
      <c r="S108" s="92"/>
      <c r="T108" s="92"/>
      <c r="U108" s="145" t="str">
        <f t="shared" si="272"/>
        <v/>
      </c>
      <c r="V108" s="92"/>
      <c r="W108" s="92"/>
      <c r="X108" s="145" t="str">
        <f t="shared" si="273"/>
        <v/>
      </c>
      <c r="Y108" s="94"/>
      <c r="Z108" s="94"/>
      <c r="AA108" s="145" t="str">
        <f t="shared" si="274"/>
        <v/>
      </c>
      <c r="AB108" s="232"/>
      <c r="AC108" s="233"/>
      <c r="AD108" s="231"/>
      <c r="AE108" s="231"/>
      <c r="AF108" s="5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</row>
    <row r="109" spans="1:51" s="229" customFormat="1" ht="15" customHeight="1" thickBot="1">
      <c r="A109" s="242"/>
      <c r="B109" s="115"/>
      <c r="C109" s="117"/>
      <c r="D109" s="117"/>
      <c r="E109" s="117"/>
      <c r="F109" s="117"/>
      <c r="G109" s="117"/>
      <c r="H109" s="117"/>
      <c r="I109" s="117"/>
      <c r="J109" s="109"/>
      <c r="K109" s="109"/>
      <c r="L109" s="145" t="str">
        <f t="shared" si="269"/>
        <v/>
      </c>
      <c r="M109" s="109"/>
      <c r="N109" s="109"/>
      <c r="O109" s="145" t="str">
        <f t="shared" si="270"/>
        <v/>
      </c>
      <c r="P109" s="109"/>
      <c r="Q109" s="109"/>
      <c r="R109" s="145" t="str">
        <f t="shared" si="271"/>
        <v/>
      </c>
      <c r="S109" s="109"/>
      <c r="T109" s="109"/>
      <c r="U109" s="145" t="str">
        <f t="shared" si="272"/>
        <v/>
      </c>
      <c r="V109" s="109"/>
      <c r="W109" s="109"/>
      <c r="X109" s="145" t="str">
        <f t="shared" si="273"/>
        <v/>
      </c>
      <c r="Y109" s="234"/>
      <c r="Z109" s="234"/>
      <c r="AA109" s="145" t="str">
        <f t="shared" si="274"/>
        <v/>
      </c>
      <c r="AB109" s="234"/>
      <c r="AC109" s="235"/>
      <c r="AD109" s="231"/>
      <c r="AE109" s="231"/>
      <c r="AF109" s="5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</row>
    <row r="110" spans="1:51" s="229" customFormat="1" ht="15" customHeight="1">
      <c r="A110" s="111" t="s">
        <v>21</v>
      </c>
      <c r="B110" s="114" t="s">
        <v>276</v>
      </c>
      <c r="C110" s="112">
        <f>K111/3+Q112/8.5+Q113/9+Z112/8.5</f>
        <v>3.0882352941176472</v>
      </c>
      <c r="D110" s="112">
        <f>(E110+H110)/2</f>
        <v>2.3450757575757573</v>
      </c>
      <c r="E110" s="112">
        <f>E112+(T111+T112+T114)/10</f>
        <v>2.15</v>
      </c>
      <c r="F110" s="112">
        <v>0</v>
      </c>
      <c r="G110" s="112">
        <v>0</v>
      </c>
      <c r="H110" s="112">
        <f>N111/4+Q115/5+T113/1.5+Z111/5.5</f>
        <v>2.540151515151515</v>
      </c>
      <c r="I110" s="112">
        <f>C110*70+D110*45+E110*25+H110*75+G110*60+F110*150</f>
        <v>565.966243315508</v>
      </c>
      <c r="J110" s="288" t="s">
        <v>464</v>
      </c>
      <c r="K110" s="289"/>
      <c r="L110" s="66"/>
      <c r="M110" s="290" t="s">
        <v>507</v>
      </c>
      <c r="N110" s="289"/>
      <c r="O110" s="66"/>
      <c r="P110" s="288" t="s">
        <v>180</v>
      </c>
      <c r="Q110" s="289"/>
      <c r="R110" s="66"/>
      <c r="S110" s="288" t="s">
        <v>181</v>
      </c>
      <c r="T110" s="289"/>
      <c r="U110" s="66"/>
      <c r="V110" s="288" t="s">
        <v>55</v>
      </c>
      <c r="W110" s="289"/>
      <c r="X110" s="66"/>
      <c r="Y110" s="288" t="s">
        <v>182</v>
      </c>
      <c r="Z110" s="289"/>
      <c r="AA110" s="66"/>
      <c r="AB110" s="237" t="s">
        <v>283</v>
      </c>
      <c r="AC110" s="239"/>
      <c r="AD110" s="51" t="str">
        <f t="shared" ref="AD110" si="384">A110</f>
        <v>D3</v>
      </c>
      <c r="AE110" s="51" t="str">
        <f t="shared" ref="AE110" si="385">J110</f>
        <v>DIY潛艇堡餐</v>
      </c>
      <c r="AF110" s="51" t="str">
        <f t="shared" ref="AF110" si="386">J111&amp;" "&amp;J112&amp;" "&amp;J113&amp;" "&amp;J114&amp;" "&amp;J115&amp;" "&amp;J116</f>
        <v xml:space="preserve">潛艇堡     </v>
      </c>
      <c r="AG110" s="51" t="str">
        <f t="shared" ref="AG110" si="387">M110</f>
        <v>芹香素熱狗</v>
      </c>
      <c r="AH110" s="51" t="str">
        <f t="shared" ref="AH110" si="388">M111&amp;" "&amp;M112&amp;" "&amp;M113&amp;" "&amp;M114&amp;" "&amp;M115&amp;" "&amp;M116</f>
        <v xml:space="preserve">素熱狗 芹菜 薑 胡椒鹽  </v>
      </c>
      <c r="AI110" s="51" t="str">
        <f t="shared" ref="AI110" si="389">P110</f>
        <v>西式配料</v>
      </c>
      <c r="AJ110" s="51" t="str">
        <f t="shared" ref="AJ110" si="390">P111&amp;" "&amp;P112&amp;" "&amp;P113&amp;" "&amp;P114&amp;" "&amp;P115&amp;" "&amp;P116</f>
        <v xml:space="preserve">彎管麵 冷凍玉米粒 馬鈴薯 大番茄 冷凍毛豆仁 </v>
      </c>
      <c r="AK110" s="51" t="str">
        <f t="shared" ref="AK110" si="391">S110</f>
        <v>麵筋花椰</v>
      </c>
      <c r="AL110" s="51" t="str">
        <f t="shared" ref="AL110" si="392">S111&amp;" "&amp;S112&amp;" "&amp;S113&amp;" "&amp;S114&amp;" "&amp;S115&amp;" "&amp;S116</f>
        <v xml:space="preserve">冷凍花椰菜 胡蘿蔔 麵筋泡 金針菇 薑 </v>
      </c>
      <c r="AM110" s="51" t="str">
        <f t="shared" ref="AM110" si="393">V110</f>
        <v>時蔬</v>
      </c>
      <c r="AN110" s="51" t="str">
        <f t="shared" ref="AN110" si="394">V111&amp;" "&amp;V112&amp;" "&amp;V113&amp;" "&amp;V114&amp;" "&amp;V115&amp;" "&amp;V116</f>
        <v xml:space="preserve">蔬菜 薑    </v>
      </c>
      <c r="AO110" s="51" t="str">
        <f t="shared" ref="AO110" si="395">Y110</f>
        <v>南瓜濃湯</v>
      </c>
      <c r="AP110" s="51" t="str">
        <f t="shared" ref="AP110" si="396">Y111&amp;" "&amp;Y112&amp;" "&amp;Y113&amp;" "&amp;Y114&amp;" "&amp;Y115&amp;" "&amp;Y116</f>
        <v xml:space="preserve">雞蛋 南瓜 玉米濃湯調理包 胡蘿蔔  </v>
      </c>
      <c r="AQ110" s="51" t="str">
        <f>AB110</f>
        <v>點心</v>
      </c>
      <c r="AR110" s="51">
        <f>AC110</f>
        <v>0</v>
      </c>
      <c r="AS110" s="228">
        <f t="shared" ref="AS110" si="397">C110</f>
        <v>3.0882352941176472</v>
      </c>
      <c r="AT110" s="228">
        <f t="shared" ref="AT110" si="398">H110</f>
        <v>2.540151515151515</v>
      </c>
      <c r="AU110" s="228">
        <f t="shared" ref="AU110" si="399">E110</f>
        <v>2.15</v>
      </c>
      <c r="AV110" s="228">
        <f t="shared" ref="AV110" si="400">D110</f>
        <v>2.3450757575757573</v>
      </c>
      <c r="AW110" s="228">
        <f t="shared" ref="AW110" si="401">F110</f>
        <v>0</v>
      </c>
      <c r="AX110" s="228">
        <f t="shared" ref="AX110" si="402">G110</f>
        <v>0</v>
      </c>
      <c r="AY110" s="228">
        <f t="shared" ref="AY110" si="403">I110</f>
        <v>565.966243315508</v>
      </c>
    </row>
    <row r="111" spans="1:51" s="229" customFormat="1" ht="15" customHeight="1">
      <c r="A111" s="241"/>
      <c r="B111" s="113"/>
      <c r="C111" s="116"/>
      <c r="D111" s="116"/>
      <c r="E111" s="116"/>
      <c r="F111" s="116"/>
      <c r="G111" s="116"/>
      <c r="H111" s="116"/>
      <c r="I111" s="116"/>
      <c r="J111" s="92" t="s">
        <v>183</v>
      </c>
      <c r="K111" s="92">
        <v>6</v>
      </c>
      <c r="L111" s="145" t="str">
        <f t="shared" ref="L111:L112" si="404">IF(K111,"公斤","")</f>
        <v>公斤</v>
      </c>
      <c r="M111" s="92" t="s">
        <v>465</v>
      </c>
      <c r="N111" s="92">
        <v>6.5</v>
      </c>
      <c r="O111" s="145" t="str">
        <f t="shared" ref="O111" si="405">IF(N111,"公斤","")</f>
        <v>公斤</v>
      </c>
      <c r="P111" s="92" t="s">
        <v>184</v>
      </c>
      <c r="Q111" s="92">
        <v>3</v>
      </c>
      <c r="R111" s="145" t="str">
        <f t="shared" ref="R111" si="406">IF(Q111,"公斤","")</f>
        <v>公斤</v>
      </c>
      <c r="S111" s="92" t="s">
        <v>59</v>
      </c>
      <c r="T111" s="92">
        <v>6</v>
      </c>
      <c r="U111" s="145" t="str">
        <f t="shared" ref="U111" si="407">IF(T111,"公斤","")</f>
        <v>公斤</v>
      </c>
      <c r="V111" s="92" t="s">
        <v>48</v>
      </c>
      <c r="W111" s="92">
        <v>7</v>
      </c>
      <c r="X111" s="145" t="str">
        <f t="shared" ref="X111" si="408">IF(W111,"公斤","")</f>
        <v>公斤</v>
      </c>
      <c r="Y111" s="92" t="s">
        <v>103</v>
      </c>
      <c r="Z111" s="92">
        <v>1</v>
      </c>
      <c r="AA111" s="145" t="str">
        <f t="shared" ref="AA111" si="409">IF(Z111,"公斤","")</f>
        <v>公斤</v>
      </c>
      <c r="AB111" s="94" t="s">
        <v>283</v>
      </c>
      <c r="AC111" s="233"/>
      <c r="AD111" s="231"/>
      <c r="AE111" s="231"/>
      <c r="AF111" s="5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</row>
    <row r="112" spans="1:51" s="229" customFormat="1" ht="15" customHeight="1">
      <c r="A112" s="241"/>
      <c r="B112" s="217" t="s">
        <v>557</v>
      </c>
      <c r="C112" s="217">
        <f>C110</f>
        <v>3.0882352941176472</v>
      </c>
      <c r="D112" s="217">
        <f>(E112+H112)/2</f>
        <v>1.8284090909090907</v>
      </c>
      <c r="E112" s="217">
        <f>(N112+Q114+W111+Z114)/10</f>
        <v>1.45</v>
      </c>
      <c r="F112" s="217">
        <f t="shared" ref="F112:G112" si="410">F110</f>
        <v>0</v>
      </c>
      <c r="G112" s="217">
        <f t="shared" si="410"/>
        <v>0</v>
      </c>
      <c r="H112" s="217">
        <f>H110-T113/1.5</f>
        <v>2.2068181818181816</v>
      </c>
      <c r="I112" s="217">
        <f>C112*70+D112*45+E112*25+H112*75+G112*60+F112*150</f>
        <v>500.216243315508</v>
      </c>
      <c r="J112" s="92"/>
      <c r="K112" s="92"/>
      <c r="L112" s="145" t="str">
        <f t="shared" si="404"/>
        <v/>
      </c>
      <c r="M112" s="92" t="s">
        <v>66</v>
      </c>
      <c r="N112" s="92">
        <v>3</v>
      </c>
      <c r="O112" s="145" t="str">
        <f t="shared" si="270"/>
        <v>公斤</v>
      </c>
      <c r="P112" s="92" t="s">
        <v>67</v>
      </c>
      <c r="Q112" s="92">
        <v>2</v>
      </c>
      <c r="R112" s="145" t="str">
        <f t="shared" si="271"/>
        <v>公斤</v>
      </c>
      <c r="S112" s="92" t="s">
        <v>58</v>
      </c>
      <c r="T112" s="92">
        <v>0.5</v>
      </c>
      <c r="U112" s="145" t="str">
        <f t="shared" si="272"/>
        <v>公斤</v>
      </c>
      <c r="V112" s="92" t="s">
        <v>64</v>
      </c>
      <c r="W112" s="92">
        <v>0.05</v>
      </c>
      <c r="X112" s="145" t="str">
        <f t="shared" si="273"/>
        <v>公斤</v>
      </c>
      <c r="Y112" s="92" t="s">
        <v>185</v>
      </c>
      <c r="Z112" s="92">
        <v>3</v>
      </c>
      <c r="AA112" s="145" t="str">
        <f t="shared" si="274"/>
        <v>公斤</v>
      </c>
      <c r="AB112" s="94"/>
      <c r="AC112" s="233"/>
      <c r="AD112" s="231"/>
      <c r="AE112" s="231"/>
      <c r="AF112" s="5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  <c r="AR112" s="231"/>
    </row>
    <row r="113" spans="1:51" s="229" customFormat="1" ht="15" customHeight="1">
      <c r="A113" s="241"/>
      <c r="B113" s="217"/>
      <c r="C113" s="217"/>
      <c r="D113" s="217"/>
      <c r="E113" s="217"/>
      <c r="F113" s="217"/>
      <c r="G113" s="217"/>
      <c r="H113" s="217"/>
      <c r="I113" s="217"/>
      <c r="J113" s="92"/>
      <c r="K113" s="92"/>
      <c r="L113" s="145" t="str">
        <f t="shared" si="269"/>
        <v/>
      </c>
      <c r="M113" s="92" t="s">
        <v>64</v>
      </c>
      <c r="N113" s="92">
        <v>0.05</v>
      </c>
      <c r="O113" s="145" t="str">
        <f t="shared" si="270"/>
        <v>公斤</v>
      </c>
      <c r="P113" s="92" t="s">
        <v>186</v>
      </c>
      <c r="Q113" s="92">
        <v>4.5</v>
      </c>
      <c r="R113" s="145" t="str">
        <f t="shared" si="271"/>
        <v>公斤</v>
      </c>
      <c r="S113" s="92" t="s">
        <v>466</v>
      </c>
      <c r="T113" s="92">
        <v>0.5</v>
      </c>
      <c r="U113" s="145" t="str">
        <f t="shared" si="272"/>
        <v>公斤</v>
      </c>
      <c r="V113" s="92"/>
      <c r="W113" s="92"/>
      <c r="X113" s="145" t="str">
        <f t="shared" si="273"/>
        <v/>
      </c>
      <c r="Y113" s="92" t="s">
        <v>187</v>
      </c>
      <c r="Z113" s="92"/>
      <c r="AA113" s="145" t="str">
        <f t="shared" si="274"/>
        <v/>
      </c>
      <c r="AB113" s="232"/>
      <c r="AC113" s="233"/>
      <c r="AD113" s="231"/>
      <c r="AE113" s="231"/>
      <c r="AF113" s="5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</row>
    <row r="114" spans="1:51" s="229" customFormat="1" ht="15" customHeight="1">
      <c r="A114" s="241"/>
      <c r="B114" s="113"/>
      <c r="C114" s="116"/>
      <c r="D114" s="116"/>
      <c r="E114" s="116"/>
      <c r="F114" s="116"/>
      <c r="G114" s="116"/>
      <c r="H114" s="116"/>
      <c r="I114" s="116"/>
      <c r="J114" s="92"/>
      <c r="K114" s="92"/>
      <c r="L114" s="145" t="str">
        <f t="shared" si="269"/>
        <v/>
      </c>
      <c r="M114" s="92" t="s">
        <v>188</v>
      </c>
      <c r="N114" s="92"/>
      <c r="O114" s="145" t="str">
        <f t="shared" si="270"/>
        <v/>
      </c>
      <c r="P114" s="92" t="s">
        <v>81</v>
      </c>
      <c r="Q114" s="92">
        <v>2</v>
      </c>
      <c r="R114" s="145" t="str">
        <f t="shared" si="271"/>
        <v>公斤</v>
      </c>
      <c r="S114" s="92" t="s">
        <v>189</v>
      </c>
      <c r="T114" s="92">
        <v>0.5</v>
      </c>
      <c r="U114" s="145" t="str">
        <f t="shared" si="272"/>
        <v>公斤</v>
      </c>
      <c r="V114" s="92"/>
      <c r="W114" s="92"/>
      <c r="X114" s="145" t="str">
        <f t="shared" si="273"/>
        <v/>
      </c>
      <c r="Y114" s="92" t="s">
        <v>58</v>
      </c>
      <c r="Z114" s="92">
        <v>2.5</v>
      </c>
      <c r="AA114" s="145" t="str">
        <f t="shared" si="274"/>
        <v>公斤</v>
      </c>
      <c r="AB114" s="232"/>
      <c r="AC114" s="233"/>
      <c r="AD114" s="231"/>
      <c r="AE114" s="231"/>
      <c r="AF114" s="5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  <c r="AR114" s="231"/>
    </row>
    <row r="115" spans="1:51" s="229" customFormat="1" ht="15" customHeight="1">
      <c r="A115" s="241"/>
      <c r="B115" s="113"/>
      <c r="C115" s="116"/>
      <c r="D115" s="116"/>
      <c r="E115" s="116"/>
      <c r="F115" s="116"/>
      <c r="G115" s="116"/>
      <c r="H115" s="116"/>
      <c r="I115" s="116"/>
      <c r="J115" s="92"/>
      <c r="K115" s="92"/>
      <c r="L115" s="145" t="str">
        <f t="shared" si="269"/>
        <v/>
      </c>
      <c r="M115" s="92"/>
      <c r="N115" s="92"/>
      <c r="O115" s="145" t="str">
        <f t="shared" si="270"/>
        <v/>
      </c>
      <c r="P115" s="92" t="s">
        <v>108</v>
      </c>
      <c r="Q115" s="92">
        <v>2</v>
      </c>
      <c r="R115" s="145" t="str">
        <f t="shared" si="271"/>
        <v>公斤</v>
      </c>
      <c r="S115" s="92" t="s">
        <v>64</v>
      </c>
      <c r="T115" s="92">
        <v>0.05</v>
      </c>
      <c r="U115" s="145" t="str">
        <f t="shared" si="272"/>
        <v>公斤</v>
      </c>
      <c r="V115" s="92"/>
      <c r="W115" s="92"/>
      <c r="X115" s="145" t="str">
        <f t="shared" si="273"/>
        <v/>
      </c>
      <c r="Y115" s="92"/>
      <c r="Z115" s="92"/>
      <c r="AA115" s="145" t="str">
        <f t="shared" si="274"/>
        <v/>
      </c>
      <c r="AB115" s="232"/>
      <c r="AC115" s="233"/>
      <c r="AD115" s="231"/>
      <c r="AE115" s="231"/>
      <c r="AF115" s="5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  <c r="AR115" s="231"/>
    </row>
    <row r="116" spans="1:51" s="229" customFormat="1" ht="15" customHeight="1" thickBot="1">
      <c r="A116" s="242"/>
      <c r="B116" s="115"/>
      <c r="C116" s="117"/>
      <c r="D116" s="117"/>
      <c r="E116" s="117"/>
      <c r="F116" s="117"/>
      <c r="G116" s="117"/>
      <c r="H116" s="117"/>
      <c r="I116" s="117"/>
      <c r="J116" s="109"/>
      <c r="K116" s="109"/>
      <c r="L116" s="145" t="str">
        <f t="shared" si="269"/>
        <v/>
      </c>
      <c r="M116" s="109"/>
      <c r="N116" s="109"/>
      <c r="O116" s="145" t="str">
        <f t="shared" si="270"/>
        <v/>
      </c>
      <c r="P116" s="109"/>
      <c r="Q116" s="109"/>
      <c r="R116" s="145" t="str">
        <f t="shared" si="271"/>
        <v/>
      </c>
      <c r="S116" s="109"/>
      <c r="T116" s="109"/>
      <c r="U116" s="145" t="str">
        <f t="shared" si="272"/>
        <v/>
      </c>
      <c r="V116" s="109"/>
      <c r="W116" s="109"/>
      <c r="X116" s="145" t="str">
        <f t="shared" si="273"/>
        <v/>
      </c>
      <c r="Y116" s="109"/>
      <c r="Z116" s="109"/>
      <c r="AA116" s="145" t="str">
        <f t="shared" si="274"/>
        <v/>
      </c>
      <c r="AB116" s="234"/>
      <c r="AC116" s="235"/>
      <c r="AD116" s="231"/>
      <c r="AE116" s="231"/>
      <c r="AF116" s="5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  <c r="AR116" s="231"/>
    </row>
    <row r="117" spans="1:51" s="229" customFormat="1" ht="15" customHeight="1">
      <c r="A117" s="111" t="s">
        <v>22</v>
      </c>
      <c r="B117" s="114" t="s">
        <v>276</v>
      </c>
      <c r="C117" s="112">
        <f>K118/2+K119/2+T119/1.5+Z118/2.5+Z119/2</f>
        <v>6.5666666666666673</v>
      </c>
      <c r="D117" s="112">
        <f>(E117+H117)/2</f>
        <v>2.2025974025974024</v>
      </c>
      <c r="E117" s="112">
        <f>E119+T120/10</f>
        <v>1.9000000000000001</v>
      </c>
      <c r="F117" s="112">
        <v>0</v>
      </c>
      <c r="G117" s="112">
        <v>0</v>
      </c>
      <c r="H117" s="112">
        <f>N118/3.5+Q118/5.5+T118/3</f>
        <v>2.505194805194805</v>
      </c>
      <c r="I117" s="112">
        <f>C117*70+D117*45+E117*25+H117*75+G117*60+F117*150</f>
        <v>794.17316017316011</v>
      </c>
      <c r="J117" s="288" t="s">
        <v>71</v>
      </c>
      <c r="K117" s="289"/>
      <c r="L117" s="66"/>
      <c r="M117" s="288" t="s">
        <v>190</v>
      </c>
      <c r="N117" s="289"/>
      <c r="O117" s="66"/>
      <c r="P117" s="288" t="s">
        <v>191</v>
      </c>
      <c r="Q117" s="289"/>
      <c r="R117" s="66"/>
      <c r="S117" s="288" t="s">
        <v>192</v>
      </c>
      <c r="T117" s="289"/>
      <c r="U117" s="66"/>
      <c r="V117" s="288" t="s">
        <v>55</v>
      </c>
      <c r="W117" s="289"/>
      <c r="X117" s="66"/>
      <c r="Y117" s="288" t="s">
        <v>193</v>
      </c>
      <c r="Z117" s="289"/>
      <c r="AA117" s="66"/>
      <c r="AB117" s="237" t="s">
        <v>283</v>
      </c>
      <c r="AC117" s="239"/>
      <c r="AD117" s="51" t="str">
        <f t="shared" ref="AD117" si="411">A117</f>
        <v>D4</v>
      </c>
      <c r="AE117" s="51" t="str">
        <f t="shared" ref="AE117" si="412">J117</f>
        <v>糙米飯</v>
      </c>
      <c r="AF117" s="51" t="str">
        <f t="shared" ref="AF117" si="413">J118&amp;" "&amp;J119&amp;" "&amp;J120&amp;" "&amp;J121&amp;" "&amp;J122&amp;" "&amp;J123</f>
        <v xml:space="preserve">米 糙米    </v>
      </c>
      <c r="AG117" s="51" t="str">
        <f t="shared" ref="AG117" si="414">M117</f>
        <v>三杯麵腸</v>
      </c>
      <c r="AH117" s="51" t="str">
        <f t="shared" ref="AH117" si="415">M118&amp;" "&amp;M119&amp;" "&amp;M120&amp;" "&amp;M121&amp;" "&amp;M122&amp;" "&amp;M123</f>
        <v xml:space="preserve">麵腸 杏鮑菇 九層塔 胡蘿蔔 薑 </v>
      </c>
      <c r="AI117" s="51" t="str">
        <f t="shared" ref="AI117" si="416">P117</f>
        <v>蛋香時蔬</v>
      </c>
      <c r="AJ117" s="51" t="str">
        <f t="shared" ref="AJ117" si="417">P118&amp;" "&amp;P119&amp;" "&amp;P120&amp;" "&amp;P121&amp;" "&amp;P122&amp;" "&amp;P123</f>
        <v xml:space="preserve">雞蛋 時蔬 乾香菇 薑  </v>
      </c>
      <c r="AK117" s="51" t="str">
        <f t="shared" ref="AK117" si="418">S117</f>
        <v>時蔬冬粉</v>
      </c>
      <c r="AL117" s="51" t="str">
        <f t="shared" ref="AL117" si="419">S118&amp;" "&amp;S119&amp;" "&amp;S120&amp;" "&amp;S121&amp;" "&amp;S122&amp;" "&amp;S123</f>
        <v xml:space="preserve">豆包 冬粉 時蔬 乾木耳 薑 </v>
      </c>
      <c r="AM117" s="51" t="str">
        <f t="shared" ref="AM117" si="420">V117</f>
        <v>時蔬</v>
      </c>
      <c r="AN117" s="51" t="str">
        <f t="shared" ref="AN117" si="421">V118&amp;" "&amp;V119&amp;" "&amp;V120&amp;" "&amp;V121&amp;" "&amp;V122&amp;" "&amp;V123</f>
        <v xml:space="preserve">蔬菜 薑    </v>
      </c>
      <c r="AO117" s="51" t="str">
        <f t="shared" ref="AO117" si="422">Y117</f>
        <v>紅豆紫米湯</v>
      </c>
      <c r="AP117" s="51" t="str">
        <f t="shared" ref="AP117" si="423">Y118&amp;" "&amp;Y119&amp;" "&amp;Y120&amp;" "&amp;Y121&amp;" "&amp;Y122&amp;" "&amp;Y123</f>
        <v xml:space="preserve">紅豆 黑秈糯米 紅砂糖   </v>
      </c>
      <c r="AQ117" s="51" t="str">
        <f>AB117</f>
        <v>點心</v>
      </c>
      <c r="AR117" s="51">
        <f>AC117</f>
        <v>0</v>
      </c>
      <c r="AS117" s="228">
        <f t="shared" ref="AS117" si="424">C117</f>
        <v>6.5666666666666673</v>
      </c>
      <c r="AT117" s="228">
        <f t="shared" ref="AT117" si="425">H117</f>
        <v>2.505194805194805</v>
      </c>
      <c r="AU117" s="228">
        <f t="shared" ref="AU117" si="426">E117</f>
        <v>1.9000000000000001</v>
      </c>
      <c r="AV117" s="228">
        <f t="shared" ref="AV117" si="427">D117</f>
        <v>2.2025974025974024</v>
      </c>
      <c r="AW117" s="228">
        <f t="shared" ref="AW117" si="428">F117</f>
        <v>0</v>
      </c>
      <c r="AX117" s="228">
        <f t="shared" ref="AX117" si="429">G117</f>
        <v>0</v>
      </c>
      <c r="AY117" s="228">
        <f t="shared" ref="AY117" si="430">I117</f>
        <v>794.17316017316011</v>
      </c>
    </row>
    <row r="118" spans="1:51" s="229" customFormat="1" ht="15" customHeight="1">
      <c r="A118" s="241"/>
      <c r="B118" s="113"/>
      <c r="C118" s="116"/>
      <c r="D118" s="116"/>
      <c r="E118" s="116"/>
      <c r="F118" s="116"/>
      <c r="G118" s="116"/>
      <c r="H118" s="116"/>
      <c r="I118" s="116"/>
      <c r="J118" s="92" t="s">
        <v>57</v>
      </c>
      <c r="K118" s="92">
        <v>7</v>
      </c>
      <c r="L118" s="145" t="str">
        <f t="shared" ref="L118:L119" si="431">IF(K118,"公斤","")</f>
        <v>公斤</v>
      </c>
      <c r="M118" s="92" t="s">
        <v>88</v>
      </c>
      <c r="N118" s="92">
        <v>6</v>
      </c>
      <c r="O118" s="145" t="str">
        <f t="shared" ref="O118" si="432">IF(N118,"公斤","")</f>
        <v>公斤</v>
      </c>
      <c r="P118" s="92" t="s">
        <v>103</v>
      </c>
      <c r="Q118" s="92">
        <v>2.7</v>
      </c>
      <c r="R118" s="145" t="str">
        <f t="shared" ref="R118" si="433">IF(Q118,"公斤","")</f>
        <v>公斤</v>
      </c>
      <c r="S118" s="92" t="s">
        <v>69</v>
      </c>
      <c r="T118" s="92">
        <v>0.9</v>
      </c>
      <c r="U118" s="145" t="str">
        <f t="shared" ref="U118" si="434">IF(T118,"公斤","")</f>
        <v>公斤</v>
      </c>
      <c r="V118" s="92" t="s">
        <v>48</v>
      </c>
      <c r="W118" s="92">
        <v>7</v>
      </c>
      <c r="X118" s="145" t="str">
        <f t="shared" ref="X118" si="435">IF(W118,"公斤","")</f>
        <v>公斤</v>
      </c>
      <c r="Y118" s="92" t="s">
        <v>194</v>
      </c>
      <c r="Z118" s="92">
        <v>1</v>
      </c>
      <c r="AA118" s="145" t="str">
        <f t="shared" ref="AA118" si="436">IF(Z118,"公斤","")</f>
        <v>公斤</v>
      </c>
      <c r="AB118" s="94" t="s">
        <v>283</v>
      </c>
      <c r="AC118" s="233"/>
      <c r="AD118" s="231"/>
      <c r="AE118" s="231"/>
      <c r="AF118" s="5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  <c r="AR118" s="231"/>
    </row>
    <row r="119" spans="1:51" s="229" customFormat="1" ht="15" customHeight="1">
      <c r="A119" s="243"/>
      <c r="B119" s="217" t="s">
        <v>557</v>
      </c>
      <c r="C119" s="217">
        <f>C117-T119/1.5</f>
        <v>5.9</v>
      </c>
      <c r="D119" s="217">
        <f>(E119+H119)/2</f>
        <v>1.9025974025974026</v>
      </c>
      <c r="E119" s="217">
        <f>(N119+N121+Q119+W118)/10</f>
        <v>1.6</v>
      </c>
      <c r="F119" s="217">
        <f t="shared" ref="F119:G119" si="437">F117</f>
        <v>0</v>
      </c>
      <c r="G119" s="217">
        <f t="shared" si="437"/>
        <v>0</v>
      </c>
      <c r="H119" s="217">
        <f>H117-T118/3</f>
        <v>2.2051948051948052</v>
      </c>
      <c r="I119" s="217">
        <f>C119*70+D119*45+E119*25+H119*75+G119*60+F119*150</f>
        <v>704.0064935064936</v>
      </c>
      <c r="J119" s="92" t="s">
        <v>61</v>
      </c>
      <c r="K119" s="92">
        <v>3</v>
      </c>
      <c r="L119" s="145" t="str">
        <f t="shared" si="431"/>
        <v>公斤</v>
      </c>
      <c r="M119" s="92" t="s">
        <v>195</v>
      </c>
      <c r="N119" s="92">
        <v>3</v>
      </c>
      <c r="O119" s="145" t="str">
        <f t="shared" si="270"/>
        <v>公斤</v>
      </c>
      <c r="P119" s="92" t="s">
        <v>55</v>
      </c>
      <c r="Q119" s="92">
        <v>5</v>
      </c>
      <c r="R119" s="145" t="str">
        <f t="shared" si="271"/>
        <v>公斤</v>
      </c>
      <c r="S119" s="92" t="s">
        <v>126</v>
      </c>
      <c r="T119" s="92">
        <v>1</v>
      </c>
      <c r="U119" s="145" t="str">
        <f t="shared" si="272"/>
        <v>公斤</v>
      </c>
      <c r="V119" s="92" t="s">
        <v>64</v>
      </c>
      <c r="W119" s="92">
        <v>0.05</v>
      </c>
      <c r="X119" s="145" t="str">
        <f t="shared" si="273"/>
        <v>公斤</v>
      </c>
      <c r="Y119" s="231" t="s">
        <v>418</v>
      </c>
      <c r="Z119" s="92">
        <v>1</v>
      </c>
      <c r="AA119" s="145" t="str">
        <f t="shared" si="274"/>
        <v>公斤</v>
      </c>
      <c r="AB119" s="94"/>
      <c r="AC119" s="233"/>
      <c r="AD119" s="231"/>
      <c r="AE119" s="231"/>
      <c r="AF119" s="5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  <c r="AR119" s="231"/>
    </row>
    <row r="120" spans="1:51" s="229" customFormat="1" ht="15" customHeight="1">
      <c r="A120" s="241"/>
      <c r="B120" s="113"/>
      <c r="C120" s="116"/>
      <c r="D120" s="116"/>
      <c r="E120" s="116"/>
      <c r="F120" s="116"/>
      <c r="G120" s="116"/>
      <c r="H120" s="116"/>
      <c r="I120" s="116"/>
      <c r="J120" s="92"/>
      <c r="K120" s="92"/>
      <c r="L120" s="145" t="str">
        <f t="shared" si="269"/>
        <v/>
      </c>
      <c r="M120" s="92" t="s">
        <v>78</v>
      </c>
      <c r="N120" s="92">
        <v>0.2</v>
      </c>
      <c r="O120" s="145" t="str">
        <f t="shared" si="270"/>
        <v>公斤</v>
      </c>
      <c r="P120" s="92" t="s">
        <v>196</v>
      </c>
      <c r="Q120" s="92">
        <v>0.01</v>
      </c>
      <c r="R120" s="145" t="str">
        <f t="shared" si="271"/>
        <v>公斤</v>
      </c>
      <c r="S120" s="92" t="s">
        <v>55</v>
      </c>
      <c r="T120" s="92">
        <v>3</v>
      </c>
      <c r="U120" s="145" t="str">
        <f t="shared" si="272"/>
        <v>公斤</v>
      </c>
      <c r="V120" s="92"/>
      <c r="W120" s="92"/>
      <c r="X120" s="145" t="str">
        <f t="shared" si="273"/>
        <v/>
      </c>
      <c r="Y120" s="92" t="s">
        <v>130</v>
      </c>
      <c r="Z120" s="92">
        <v>1</v>
      </c>
      <c r="AA120" s="145" t="str">
        <f t="shared" si="274"/>
        <v>公斤</v>
      </c>
      <c r="AB120" s="232"/>
      <c r="AC120" s="233"/>
      <c r="AD120" s="231"/>
      <c r="AE120" s="231"/>
      <c r="AF120" s="5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  <c r="AR120" s="231"/>
    </row>
    <row r="121" spans="1:51" s="229" customFormat="1" ht="15" customHeight="1">
      <c r="A121" s="241"/>
      <c r="B121" s="113"/>
      <c r="C121" s="116"/>
      <c r="D121" s="116"/>
      <c r="E121" s="116"/>
      <c r="F121" s="116"/>
      <c r="G121" s="116"/>
      <c r="H121" s="116"/>
      <c r="I121" s="116"/>
      <c r="J121" s="92"/>
      <c r="K121" s="92"/>
      <c r="L121" s="145" t="str">
        <f t="shared" si="269"/>
        <v/>
      </c>
      <c r="M121" s="92" t="s">
        <v>58</v>
      </c>
      <c r="N121" s="92">
        <v>1</v>
      </c>
      <c r="O121" s="145" t="str">
        <f t="shared" si="270"/>
        <v>公斤</v>
      </c>
      <c r="P121" s="92" t="s">
        <v>64</v>
      </c>
      <c r="Q121" s="92">
        <v>0.05</v>
      </c>
      <c r="R121" s="145" t="str">
        <f t="shared" si="271"/>
        <v>公斤</v>
      </c>
      <c r="S121" s="92" t="s">
        <v>132</v>
      </c>
      <c r="T121" s="92">
        <v>0.01</v>
      </c>
      <c r="U121" s="145" t="str">
        <f t="shared" si="272"/>
        <v>公斤</v>
      </c>
      <c r="V121" s="92"/>
      <c r="W121" s="92"/>
      <c r="X121" s="145" t="str">
        <f t="shared" si="273"/>
        <v/>
      </c>
      <c r="Y121" s="92"/>
      <c r="Z121" s="92"/>
      <c r="AA121" s="145" t="str">
        <f t="shared" si="274"/>
        <v/>
      </c>
      <c r="AB121" s="232"/>
      <c r="AC121" s="233"/>
      <c r="AD121" s="231"/>
      <c r="AE121" s="231"/>
      <c r="AF121" s="5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  <c r="AR121" s="231"/>
    </row>
    <row r="122" spans="1:51" s="229" customFormat="1" ht="15" customHeight="1">
      <c r="A122" s="241"/>
      <c r="B122" s="113"/>
      <c r="C122" s="116"/>
      <c r="D122" s="116"/>
      <c r="E122" s="116"/>
      <c r="F122" s="116"/>
      <c r="G122" s="116"/>
      <c r="H122" s="116"/>
      <c r="I122" s="116"/>
      <c r="J122" s="92"/>
      <c r="K122" s="92"/>
      <c r="L122" s="145" t="str">
        <f t="shared" si="269"/>
        <v/>
      </c>
      <c r="M122" s="92" t="s">
        <v>64</v>
      </c>
      <c r="N122" s="92">
        <v>0.05</v>
      </c>
      <c r="O122" s="145" t="str">
        <f t="shared" si="270"/>
        <v>公斤</v>
      </c>
      <c r="P122" s="92"/>
      <c r="Q122" s="92"/>
      <c r="R122" s="145" t="str">
        <f t="shared" si="271"/>
        <v/>
      </c>
      <c r="S122" s="92" t="s">
        <v>64</v>
      </c>
      <c r="T122" s="92">
        <v>0.05</v>
      </c>
      <c r="U122" s="145" t="str">
        <f t="shared" si="272"/>
        <v>公斤</v>
      </c>
      <c r="V122" s="92"/>
      <c r="W122" s="92"/>
      <c r="X122" s="145" t="str">
        <f t="shared" si="273"/>
        <v/>
      </c>
      <c r="Y122" s="92"/>
      <c r="Z122" s="92"/>
      <c r="AA122" s="145" t="str">
        <f t="shared" si="274"/>
        <v/>
      </c>
      <c r="AB122" s="232"/>
      <c r="AC122" s="233"/>
      <c r="AD122" s="231"/>
      <c r="AE122" s="231"/>
      <c r="AF122" s="5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  <c r="AR122" s="231"/>
    </row>
    <row r="123" spans="1:51" s="229" customFormat="1" ht="15" customHeight="1" thickBot="1">
      <c r="A123" s="242"/>
      <c r="B123" s="115"/>
      <c r="C123" s="117"/>
      <c r="D123" s="117"/>
      <c r="E123" s="117"/>
      <c r="F123" s="117"/>
      <c r="G123" s="117"/>
      <c r="H123" s="117"/>
      <c r="I123" s="117"/>
      <c r="J123" s="109"/>
      <c r="K123" s="109"/>
      <c r="L123" s="145" t="str">
        <f t="shared" si="269"/>
        <v/>
      </c>
      <c r="M123" s="109"/>
      <c r="N123" s="109"/>
      <c r="O123" s="145" t="str">
        <f t="shared" si="270"/>
        <v/>
      </c>
      <c r="P123" s="109"/>
      <c r="Q123" s="109"/>
      <c r="R123" s="145" t="str">
        <f t="shared" si="271"/>
        <v/>
      </c>
      <c r="S123" s="109"/>
      <c r="T123" s="109"/>
      <c r="U123" s="145" t="str">
        <f t="shared" si="272"/>
        <v/>
      </c>
      <c r="V123" s="109"/>
      <c r="W123" s="109"/>
      <c r="X123" s="145" t="str">
        <f t="shared" si="273"/>
        <v/>
      </c>
      <c r="Y123" s="109"/>
      <c r="Z123" s="109"/>
      <c r="AA123" s="145" t="str">
        <f t="shared" si="274"/>
        <v/>
      </c>
      <c r="AB123" s="234"/>
      <c r="AC123" s="235"/>
      <c r="AD123" s="231"/>
      <c r="AE123" s="231"/>
      <c r="AF123" s="5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  <c r="AR123" s="231"/>
    </row>
    <row r="124" spans="1:51" s="229" customFormat="1" ht="15" customHeight="1">
      <c r="A124" s="111" t="s">
        <v>23</v>
      </c>
      <c r="B124" s="114" t="s">
        <v>276</v>
      </c>
      <c r="C124" s="112">
        <f>K125/2+K126/2+T127/14</f>
        <v>5.4857142857142858</v>
      </c>
      <c r="D124" s="112">
        <f>(E124+H124)/2</f>
        <v>2.2488636363636365</v>
      </c>
      <c r="E124" s="112">
        <f>E126+(T125+T126)/10</f>
        <v>1.95</v>
      </c>
      <c r="F124" s="112">
        <v>0</v>
      </c>
      <c r="G124" s="112">
        <v>0</v>
      </c>
      <c r="H124" s="112">
        <f>N125/4+Q126/5.5+Z125/8+T128/5.5+N128/5</f>
        <v>2.5477272727272728</v>
      </c>
      <c r="I124" s="112">
        <f>C124*70+D124*45+E124*25+H124*75+G124*60+F124*150</f>
        <v>725.02840909090912</v>
      </c>
      <c r="J124" s="288" t="s">
        <v>197</v>
      </c>
      <c r="K124" s="289"/>
      <c r="L124" s="66"/>
      <c r="M124" s="288" t="s">
        <v>198</v>
      </c>
      <c r="N124" s="289"/>
      <c r="O124" s="66"/>
      <c r="P124" s="288" t="s">
        <v>199</v>
      </c>
      <c r="Q124" s="289"/>
      <c r="R124" s="66"/>
      <c r="S124" s="288" t="s">
        <v>200</v>
      </c>
      <c r="T124" s="289"/>
      <c r="U124" s="66"/>
      <c r="V124" s="288" t="s">
        <v>55</v>
      </c>
      <c r="W124" s="289"/>
      <c r="X124" s="66"/>
      <c r="Y124" s="288" t="s">
        <v>201</v>
      </c>
      <c r="Z124" s="289"/>
      <c r="AA124" s="66"/>
      <c r="AB124" s="237" t="s">
        <v>283</v>
      </c>
      <c r="AC124" s="227" t="s">
        <v>56</v>
      </c>
      <c r="AD124" s="51" t="str">
        <f t="shared" ref="AD124" si="438">A124</f>
        <v>D5</v>
      </c>
      <c r="AE124" s="51" t="str">
        <f t="shared" ref="AE124" si="439">J124</f>
        <v>紫米飯</v>
      </c>
      <c r="AF124" s="51" t="str">
        <f t="shared" ref="AF124" si="440">J125&amp;" "&amp;J126&amp;" "&amp;J127&amp;" "&amp;J128&amp;" "&amp;J129&amp;" "&amp;J130</f>
        <v xml:space="preserve">米 紫米飯    </v>
      </c>
      <c r="AG124" s="51" t="str">
        <f t="shared" ref="AG124" si="441">M124</f>
        <v>洋芋豆干</v>
      </c>
      <c r="AH124" s="51" t="str">
        <f t="shared" ref="AH124" si="442">M125&amp;" "&amp;M126&amp;" "&amp;M127&amp;" "&amp;M128&amp;" "&amp;M129&amp;" "&amp;M130</f>
        <v xml:space="preserve">豆干 馬鈴薯 胡蘿蔔 冷凍毛豆仁 薑 </v>
      </c>
      <c r="AI124" s="51" t="str">
        <f t="shared" ref="AI124" si="443">P124</f>
        <v>鹹蛋玉菜</v>
      </c>
      <c r="AJ124" s="51" t="str">
        <f t="shared" ref="AJ124" si="444">P125&amp;" "&amp;P126&amp;" "&amp;P127&amp;" "&amp;P128&amp;" "&amp;P129&amp;" "&amp;P130</f>
        <v xml:space="preserve">甘藍 鴨鹹蛋 胡蘿蔔 薑  </v>
      </c>
      <c r="AK124" s="51" t="str">
        <f t="shared" ref="AK124" si="445">S124</f>
        <v>蔬菜佃煮</v>
      </c>
      <c r="AL124" s="51" t="str">
        <f t="shared" ref="AL124" si="446">S125&amp;" "&amp;S126&amp;" "&amp;S127&amp;" "&amp;S128&amp;" "&amp;S129&amp;" "&amp;S130</f>
        <v xml:space="preserve">胡蘿蔔 白蘿蔔 甜玉米 四角油豆腐 味醂 </v>
      </c>
      <c r="AM124" s="51" t="str">
        <f t="shared" ref="AM124" si="447">V124</f>
        <v>時蔬</v>
      </c>
      <c r="AN124" s="51" t="str">
        <f t="shared" ref="AN124" si="448">V125&amp;" "&amp;V126&amp;" "&amp;V127&amp;" "&amp;V128&amp;" "&amp;V129&amp;" "&amp;V130</f>
        <v xml:space="preserve">蔬菜 薑    </v>
      </c>
      <c r="AO124" s="51" t="str">
        <f t="shared" ref="AO124" si="449">Y124</f>
        <v>味噌豆腐湯</v>
      </c>
      <c r="AP124" s="51" t="str">
        <f t="shared" ref="AP124" si="450">Y125&amp;" "&amp;Y126&amp;" "&amp;Y127&amp;" "&amp;Y128&amp;" "&amp;Y129&amp;" "&amp;Y130</f>
        <v xml:space="preserve">豆腐 味噌 時蔬   </v>
      </c>
      <c r="AQ124" s="51" t="str">
        <f>AB124</f>
        <v>點心</v>
      </c>
      <c r="AR124" s="51" t="str">
        <f>AC124</f>
        <v>有機豆奶</v>
      </c>
      <c r="AS124" s="228">
        <f t="shared" ref="AS124" si="451">C124</f>
        <v>5.4857142857142858</v>
      </c>
      <c r="AT124" s="228">
        <f t="shared" ref="AT124" si="452">H124</f>
        <v>2.5477272727272728</v>
      </c>
      <c r="AU124" s="228">
        <f t="shared" ref="AU124" si="453">E124</f>
        <v>1.95</v>
      </c>
      <c r="AV124" s="228">
        <f t="shared" ref="AV124" si="454">D124</f>
        <v>2.2488636363636365</v>
      </c>
      <c r="AW124" s="228">
        <f t="shared" ref="AW124" si="455">F124</f>
        <v>0</v>
      </c>
      <c r="AX124" s="228">
        <f t="shared" ref="AX124" si="456">G124</f>
        <v>0</v>
      </c>
      <c r="AY124" s="228">
        <f t="shared" ref="AY124" si="457">I124</f>
        <v>725.02840909090912</v>
      </c>
    </row>
    <row r="125" spans="1:51" s="229" customFormat="1" ht="15" customHeight="1">
      <c r="A125" s="241"/>
      <c r="B125" s="113"/>
      <c r="C125" s="116"/>
      <c r="D125" s="116"/>
      <c r="E125" s="116"/>
      <c r="F125" s="116"/>
      <c r="G125" s="116"/>
      <c r="H125" s="116"/>
      <c r="I125" s="116"/>
      <c r="J125" s="92" t="s">
        <v>57</v>
      </c>
      <c r="K125" s="92">
        <v>10</v>
      </c>
      <c r="L125" s="145" t="str">
        <f t="shared" ref="L125:L126" si="458">IF(K125,"公斤","")</f>
        <v>公斤</v>
      </c>
      <c r="M125" s="92" t="s">
        <v>106</v>
      </c>
      <c r="N125" s="92">
        <v>5.7</v>
      </c>
      <c r="O125" s="145" t="str">
        <f t="shared" ref="O125" si="459">IF(N125,"公斤","")</f>
        <v>公斤</v>
      </c>
      <c r="P125" s="92" t="s">
        <v>63</v>
      </c>
      <c r="Q125" s="92">
        <v>6.5</v>
      </c>
      <c r="R125" s="145" t="str">
        <f t="shared" ref="R125" si="460">IF(Q125,"公斤","")</f>
        <v>公斤</v>
      </c>
      <c r="S125" s="92" t="s">
        <v>58</v>
      </c>
      <c r="T125" s="92">
        <v>1</v>
      </c>
      <c r="U125" s="145" t="str">
        <f t="shared" ref="U125" si="461">IF(T125,"公斤","")</f>
        <v>公斤</v>
      </c>
      <c r="V125" s="92" t="s">
        <v>48</v>
      </c>
      <c r="W125" s="92">
        <v>7</v>
      </c>
      <c r="X125" s="145" t="str">
        <f t="shared" ref="X125" si="462">IF(W125,"公斤","")</f>
        <v>公斤</v>
      </c>
      <c r="Y125" s="92" t="s">
        <v>160</v>
      </c>
      <c r="Z125" s="92">
        <v>2</v>
      </c>
      <c r="AA125" s="145" t="str">
        <f t="shared" ref="AA125" si="463">IF(Z125,"公斤","")</f>
        <v>公斤</v>
      </c>
      <c r="AB125" s="94" t="s">
        <v>283</v>
      </c>
      <c r="AC125" s="230" t="s">
        <v>56</v>
      </c>
      <c r="AD125" s="231"/>
      <c r="AE125" s="231"/>
      <c r="AF125" s="5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  <c r="AR125" s="231"/>
    </row>
    <row r="126" spans="1:51" s="229" customFormat="1" ht="15" customHeight="1">
      <c r="A126" s="241"/>
      <c r="B126" s="217" t="s">
        <v>557</v>
      </c>
      <c r="C126" s="217">
        <f>C124-T127/14</f>
        <v>5.2</v>
      </c>
      <c r="D126" s="217">
        <f>(E126+H126)/2</f>
        <v>1.9443181818181818</v>
      </c>
      <c r="E126" s="217">
        <f>(N127+Q125+Q127+W125+Z127)/10</f>
        <v>1.65</v>
      </c>
      <c r="F126" s="217">
        <f t="shared" ref="F126:G126" si="464">F124</f>
        <v>0</v>
      </c>
      <c r="G126" s="217">
        <f t="shared" si="464"/>
        <v>0</v>
      </c>
      <c r="H126" s="217">
        <f>H124-T128/5.5</f>
        <v>2.2386363636363638</v>
      </c>
      <c r="I126" s="217">
        <f>C126*70+D126*45+E126*25+H126*75+G126*60+F126*150</f>
        <v>660.6420454545455</v>
      </c>
      <c r="J126" s="92" t="s">
        <v>197</v>
      </c>
      <c r="K126" s="92">
        <v>0.4</v>
      </c>
      <c r="L126" s="145" t="str">
        <f t="shared" si="458"/>
        <v>公斤</v>
      </c>
      <c r="M126" s="92" t="s">
        <v>186</v>
      </c>
      <c r="N126" s="92">
        <v>3.5</v>
      </c>
      <c r="O126" s="145" t="str">
        <f t="shared" si="270"/>
        <v>公斤</v>
      </c>
      <c r="P126" s="92" t="s">
        <v>202</v>
      </c>
      <c r="Q126" s="92">
        <v>2</v>
      </c>
      <c r="R126" s="145" t="str">
        <f t="shared" si="271"/>
        <v>公斤</v>
      </c>
      <c r="S126" s="92" t="s">
        <v>65</v>
      </c>
      <c r="T126" s="92">
        <v>2</v>
      </c>
      <c r="U126" s="145" t="str">
        <f t="shared" si="272"/>
        <v>公斤</v>
      </c>
      <c r="V126" s="92" t="s">
        <v>64</v>
      </c>
      <c r="W126" s="92">
        <v>0.05</v>
      </c>
      <c r="X126" s="145" t="str">
        <f t="shared" si="273"/>
        <v>公斤</v>
      </c>
      <c r="Y126" s="92" t="s">
        <v>116</v>
      </c>
      <c r="Z126" s="92">
        <v>0.6</v>
      </c>
      <c r="AA126" s="145" t="str">
        <f t="shared" si="274"/>
        <v>公斤</v>
      </c>
      <c r="AB126" s="94"/>
      <c r="AC126" s="233"/>
      <c r="AD126" s="231"/>
      <c r="AE126" s="231"/>
      <c r="AF126" s="5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  <c r="AR126" s="231"/>
    </row>
    <row r="127" spans="1:51" s="229" customFormat="1" ht="15" customHeight="1">
      <c r="A127" s="241"/>
      <c r="B127" s="113"/>
      <c r="C127" s="116"/>
      <c r="D127" s="116"/>
      <c r="E127" s="116"/>
      <c r="F127" s="116"/>
      <c r="G127" s="116"/>
      <c r="H127" s="116"/>
      <c r="I127" s="116"/>
      <c r="J127" s="92"/>
      <c r="K127" s="92"/>
      <c r="L127" s="145" t="str">
        <f t="shared" si="269"/>
        <v/>
      </c>
      <c r="M127" s="92" t="s">
        <v>58</v>
      </c>
      <c r="N127" s="92">
        <v>0.5</v>
      </c>
      <c r="O127" s="145" t="str">
        <f t="shared" si="270"/>
        <v>公斤</v>
      </c>
      <c r="P127" s="92" t="s">
        <v>58</v>
      </c>
      <c r="Q127" s="92">
        <v>0.5</v>
      </c>
      <c r="R127" s="145" t="str">
        <f t="shared" si="271"/>
        <v>公斤</v>
      </c>
      <c r="S127" s="92" t="s">
        <v>203</v>
      </c>
      <c r="T127" s="92">
        <v>4</v>
      </c>
      <c r="U127" s="145" t="str">
        <f t="shared" si="272"/>
        <v>公斤</v>
      </c>
      <c r="V127" s="92"/>
      <c r="W127" s="92"/>
      <c r="X127" s="145" t="str">
        <f t="shared" si="273"/>
        <v/>
      </c>
      <c r="Y127" s="92" t="s">
        <v>55</v>
      </c>
      <c r="Z127" s="92">
        <v>2</v>
      </c>
      <c r="AA127" s="145" t="str">
        <f t="shared" si="274"/>
        <v>公斤</v>
      </c>
      <c r="AB127" s="232"/>
      <c r="AC127" s="233"/>
      <c r="AD127" s="231"/>
      <c r="AE127" s="231"/>
      <c r="AF127" s="5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  <c r="AR127" s="231"/>
    </row>
    <row r="128" spans="1:51" s="229" customFormat="1" ht="15" customHeight="1">
      <c r="A128" s="241"/>
      <c r="B128" s="113"/>
      <c r="C128" s="116"/>
      <c r="D128" s="116"/>
      <c r="E128" s="116"/>
      <c r="F128" s="116"/>
      <c r="G128" s="116"/>
      <c r="H128" s="116"/>
      <c r="I128" s="116"/>
      <c r="J128" s="92"/>
      <c r="K128" s="92"/>
      <c r="L128" s="145" t="str">
        <f t="shared" si="269"/>
        <v/>
      </c>
      <c r="M128" s="92" t="s">
        <v>108</v>
      </c>
      <c r="N128" s="92">
        <v>1</v>
      </c>
      <c r="O128" s="145" t="str">
        <f t="shared" si="270"/>
        <v>公斤</v>
      </c>
      <c r="P128" s="92" t="s">
        <v>64</v>
      </c>
      <c r="Q128" s="92">
        <v>0.05</v>
      </c>
      <c r="R128" s="145" t="str">
        <f t="shared" si="271"/>
        <v>公斤</v>
      </c>
      <c r="S128" s="92" t="s">
        <v>125</v>
      </c>
      <c r="T128" s="92">
        <v>1.7</v>
      </c>
      <c r="U128" s="145" t="str">
        <f t="shared" si="272"/>
        <v>公斤</v>
      </c>
      <c r="V128" s="92"/>
      <c r="W128" s="92"/>
      <c r="X128" s="145" t="str">
        <f t="shared" si="273"/>
        <v/>
      </c>
      <c r="Y128" s="92"/>
      <c r="Z128" s="92"/>
      <c r="AA128" s="145" t="str">
        <f t="shared" si="274"/>
        <v/>
      </c>
      <c r="AB128" s="232"/>
      <c r="AC128" s="233"/>
      <c r="AD128" s="231"/>
      <c r="AE128" s="231"/>
      <c r="AF128" s="5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  <c r="AR128" s="231"/>
    </row>
    <row r="129" spans="1:51" s="229" customFormat="1" ht="15" customHeight="1">
      <c r="A129" s="241"/>
      <c r="B129" s="113"/>
      <c r="C129" s="116"/>
      <c r="D129" s="116"/>
      <c r="E129" s="116"/>
      <c r="F129" s="116"/>
      <c r="G129" s="116"/>
      <c r="H129" s="116"/>
      <c r="I129" s="116"/>
      <c r="J129" s="92"/>
      <c r="K129" s="92"/>
      <c r="L129" s="145" t="str">
        <f t="shared" si="269"/>
        <v/>
      </c>
      <c r="M129" s="92" t="s">
        <v>64</v>
      </c>
      <c r="N129" s="92">
        <v>0.05</v>
      </c>
      <c r="O129" s="145" t="str">
        <f t="shared" si="270"/>
        <v>公斤</v>
      </c>
      <c r="P129" s="92"/>
      <c r="Q129" s="92"/>
      <c r="R129" s="145" t="str">
        <f t="shared" si="271"/>
        <v/>
      </c>
      <c r="S129" s="92" t="s">
        <v>204</v>
      </c>
      <c r="T129" s="92">
        <v>0.01</v>
      </c>
      <c r="U129" s="145" t="str">
        <f t="shared" si="272"/>
        <v>公斤</v>
      </c>
      <c r="V129" s="92"/>
      <c r="W129" s="92"/>
      <c r="X129" s="145" t="str">
        <f t="shared" si="273"/>
        <v/>
      </c>
      <c r="Y129" s="92"/>
      <c r="Z129" s="92"/>
      <c r="AA129" s="145" t="str">
        <f t="shared" si="274"/>
        <v/>
      </c>
      <c r="AB129" s="232"/>
      <c r="AC129" s="233"/>
      <c r="AD129" s="231"/>
      <c r="AE129" s="231"/>
      <c r="AF129" s="5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  <c r="AR129" s="231"/>
    </row>
    <row r="130" spans="1:51" s="229" customFormat="1" ht="15" customHeight="1" thickBot="1">
      <c r="A130" s="242"/>
      <c r="B130" s="115"/>
      <c r="C130" s="117"/>
      <c r="D130" s="117"/>
      <c r="E130" s="117"/>
      <c r="F130" s="117"/>
      <c r="G130" s="117"/>
      <c r="H130" s="117"/>
      <c r="I130" s="117"/>
      <c r="J130" s="109"/>
      <c r="K130" s="109"/>
      <c r="L130" s="145" t="str">
        <f t="shared" si="269"/>
        <v/>
      </c>
      <c r="M130" s="109"/>
      <c r="N130" s="109"/>
      <c r="O130" s="145" t="str">
        <f t="shared" si="270"/>
        <v/>
      </c>
      <c r="P130" s="109"/>
      <c r="Q130" s="109"/>
      <c r="R130" s="145" t="str">
        <f t="shared" si="271"/>
        <v/>
      </c>
      <c r="S130" s="109"/>
      <c r="T130" s="109"/>
      <c r="U130" s="145" t="str">
        <f t="shared" si="272"/>
        <v/>
      </c>
      <c r="V130" s="109"/>
      <c r="W130" s="109"/>
      <c r="X130" s="145" t="str">
        <f t="shared" si="273"/>
        <v/>
      </c>
      <c r="Y130" s="109"/>
      <c r="Z130" s="109"/>
      <c r="AA130" s="145" t="str">
        <f t="shared" si="274"/>
        <v/>
      </c>
      <c r="AB130" s="234"/>
      <c r="AC130" s="235"/>
      <c r="AD130" s="231"/>
      <c r="AE130" s="231"/>
      <c r="AF130" s="5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  <c r="AR130" s="231"/>
    </row>
    <row r="131" spans="1:51" s="229" customFormat="1" ht="15" customHeight="1">
      <c r="A131" s="244" t="s">
        <v>483</v>
      </c>
      <c r="B131" s="114" t="s">
        <v>276</v>
      </c>
      <c r="C131" s="112">
        <f>K132/2+Z133/1.5+K133/2</f>
        <v>5.4</v>
      </c>
      <c r="D131" s="112">
        <f>(E131+H131)/2</f>
        <v>2.1333333333333337</v>
      </c>
      <c r="E131" s="112">
        <f>(Q132+Q134+T133+T134+W132+Z132*5)/10</f>
        <v>2.1</v>
      </c>
      <c r="F131" s="112">
        <v>0</v>
      </c>
      <c r="G131" s="112">
        <v>0</v>
      </c>
      <c r="H131" s="112">
        <f>N132/3+Q133/8</f>
        <v>2.166666666666667</v>
      </c>
      <c r="I131" s="112">
        <f>C131*70+D131*45+E131*25+H131*75+G131*60+F131*150</f>
        <v>689</v>
      </c>
      <c r="J131" s="288" t="s">
        <v>164</v>
      </c>
      <c r="K131" s="289"/>
      <c r="L131" s="66"/>
      <c r="M131" s="288" t="s">
        <v>171</v>
      </c>
      <c r="N131" s="289"/>
      <c r="O131" s="66"/>
      <c r="P131" s="293" t="s">
        <v>482</v>
      </c>
      <c r="Q131" s="294"/>
      <c r="R131" s="66"/>
      <c r="S131" s="247" t="s">
        <v>492</v>
      </c>
      <c r="T131" s="292"/>
      <c r="U131" s="66"/>
      <c r="V131" s="293" t="s">
        <v>55</v>
      </c>
      <c r="W131" s="294"/>
      <c r="X131" s="66"/>
      <c r="Y131" s="288" t="s">
        <v>166</v>
      </c>
      <c r="Z131" s="289"/>
      <c r="AA131" s="66"/>
      <c r="AB131" s="237" t="s">
        <v>283</v>
      </c>
      <c r="AC131" s="239"/>
      <c r="AD131" s="51" t="str">
        <f t="shared" ref="AD131" si="465">A131</f>
        <v>E5</v>
      </c>
      <c r="AE131" s="51" t="str">
        <f t="shared" ref="AE131" si="466">J131</f>
        <v>燕麥飯</v>
      </c>
      <c r="AF131" s="51" t="str">
        <f t="shared" ref="AF131" si="467">J132&amp;" "&amp;J133&amp;" "&amp;J134&amp;" "&amp;J135&amp;" "&amp;J136&amp;" "&amp;J137</f>
        <v xml:space="preserve">米 燕麥    </v>
      </c>
      <c r="AG131" s="51" t="str">
        <f t="shared" ref="AG131" si="468">M131</f>
        <v>彩椒豆包</v>
      </c>
      <c r="AH131" s="51" t="str">
        <f t="shared" ref="AH131" si="469">M132&amp;" "&amp;M133&amp;" "&amp;M134&amp;" "&amp;M135&amp;" "&amp;M136&amp;" "&amp;M137</f>
        <v>豆包 芹菜 胡蘿蔔 甜椒(黃皮) 薑 味噌</v>
      </c>
      <c r="AI131" s="51" t="str">
        <f t="shared" ref="AI131" si="470">P131</f>
        <v>鮮菇豆腐</v>
      </c>
      <c r="AJ131" s="51" t="str">
        <f t="shared" ref="AJ131" si="471">P132&amp;" "&amp;P133&amp;" "&amp;P134&amp;" "&amp;P135&amp;" "&amp;P136&amp;" "&amp;P137</f>
        <v xml:space="preserve">鴻喜菇 豆腐 胡蘿蔔 薑  </v>
      </c>
      <c r="AK131" s="51" t="str">
        <f t="shared" ref="AK131" si="472">S131</f>
        <v>鮮燴時瓜</v>
      </c>
      <c r="AL131" s="51" t="str">
        <f t="shared" ref="AL131" si="473">S132&amp;" "&amp;S133&amp;" "&amp;S134&amp;" "&amp;S135&amp;" "&amp;S136&amp;" "&amp;S137</f>
        <v xml:space="preserve">枸杞 時瓜 胡蘿蔔 大蒜  </v>
      </c>
      <c r="AM131" s="51" t="str">
        <f t="shared" ref="AM131" si="474">V131</f>
        <v>時蔬</v>
      </c>
      <c r="AN131" s="51" t="str">
        <f t="shared" ref="AN131" si="475">V132&amp;" "&amp;V133&amp;" "&amp;V134&amp;" "&amp;V135&amp;" "&amp;V136&amp;" "&amp;V137</f>
        <v xml:space="preserve">蔬菜 薑    </v>
      </c>
      <c r="AO131" s="51" t="str">
        <f t="shared" ref="AO131" si="476">Y131</f>
        <v>金針粉絲湯</v>
      </c>
      <c r="AP131" s="51" t="str">
        <f t="shared" ref="AP131" si="477">Y132&amp;" "&amp;Y133&amp;" "&amp;Y134&amp;" "&amp;Y135&amp;" "&amp;Y136&amp;" "&amp;Y137</f>
        <v xml:space="preserve">金針菜乾 冬粉 薑   </v>
      </c>
      <c r="AQ131" s="51" t="str">
        <f>AB131</f>
        <v>點心</v>
      </c>
      <c r="AR131" s="51">
        <f>AC131</f>
        <v>0</v>
      </c>
      <c r="AS131" s="228">
        <f t="shared" ref="AS131" si="478">C131</f>
        <v>5.4</v>
      </c>
      <c r="AT131" s="228">
        <f t="shared" ref="AT131" si="479">H131</f>
        <v>2.166666666666667</v>
      </c>
      <c r="AU131" s="228">
        <f t="shared" ref="AU131" si="480">E131</f>
        <v>2.1</v>
      </c>
      <c r="AV131" s="228">
        <f t="shared" ref="AV131" si="481">D131</f>
        <v>2.1333333333333337</v>
      </c>
      <c r="AW131" s="228">
        <f t="shared" ref="AW131" si="482">F131</f>
        <v>0</v>
      </c>
      <c r="AX131" s="228">
        <f t="shared" ref="AX131" si="483">G131</f>
        <v>0</v>
      </c>
      <c r="AY131" s="228">
        <f t="shared" ref="AY131" si="484">I131</f>
        <v>689</v>
      </c>
    </row>
    <row r="132" spans="1:51" s="229" customFormat="1" ht="15" customHeight="1">
      <c r="A132" s="241"/>
      <c r="B132" s="113"/>
      <c r="C132" s="116"/>
      <c r="D132" s="116"/>
      <c r="E132" s="116"/>
      <c r="F132" s="116"/>
      <c r="G132" s="116"/>
      <c r="H132" s="116"/>
      <c r="I132" s="116"/>
      <c r="J132" s="92" t="s">
        <v>57</v>
      </c>
      <c r="K132" s="92">
        <v>10</v>
      </c>
      <c r="L132" s="145" t="str">
        <f t="shared" ref="L132:L133" si="485">IF(K132,"公斤","")</f>
        <v>公斤</v>
      </c>
      <c r="M132" s="92" t="s">
        <v>69</v>
      </c>
      <c r="N132" s="92">
        <v>5</v>
      </c>
      <c r="O132" s="145" t="str">
        <f t="shared" ref="O132" si="486">IF(N132,"公斤","")</f>
        <v>公斤</v>
      </c>
      <c r="P132" s="128" t="s">
        <v>76</v>
      </c>
      <c r="Q132" s="128">
        <v>4</v>
      </c>
      <c r="R132" s="145" t="str">
        <f t="shared" ref="R132" si="487">IF(Q132,"公斤","")</f>
        <v>公斤</v>
      </c>
      <c r="S132" s="133" t="s">
        <v>493</v>
      </c>
      <c r="T132" s="132">
        <v>0.1</v>
      </c>
      <c r="U132" s="145" t="str">
        <f t="shared" ref="U132" si="488">IF(T132,"公斤","")</f>
        <v>公斤</v>
      </c>
      <c r="V132" s="128" t="s">
        <v>48</v>
      </c>
      <c r="W132" s="128">
        <v>7</v>
      </c>
      <c r="X132" s="145" t="str">
        <f t="shared" ref="X132" si="489">IF(W132,"公斤","")</f>
        <v>公斤</v>
      </c>
      <c r="Y132" s="92" t="s">
        <v>168</v>
      </c>
      <c r="Z132" s="92">
        <v>0.5</v>
      </c>
      <c r="AA132" s="145" t="str">
        <f t="shared" ref="AA132" si="490">IF(Z132,"公斤","")</f>
        <v>公斤</v>
      </c>
      <c r="AB132" s="94" t="s">
        <v>283</v>
      </c>
      <c r="AC132" s="233"/>
      <c r="AD132" s="231"/>
      <c r="AE132" s="231"/>
      <c r="AF132" s="5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  <c r="AR132" s="231"/>
    </row>
    <row r="133" spans="1:51" s="229" customFormat="1" ht="15" customHeight="1">
      <c r="A133" s="243"/>
      <c r="B133" s="217" t="s">
        <v>557</v>
      </c>
      <c r="C133" s="217">
        <f>C131</f>
        <v>5.4</v>
      </c>
      <c r="D133" s="217">
        <f>(E133+H133)/2</f>
        <v>1.8083333333333336</v>
      </c>
      <c r="E133" s="217">
        <f>E131-(T133+T134)/10</f>
        <v>1.4500000000000002</v>
      </c>
      <c r="F133" s="217">
        <f t="shared" ref="F133:G133" si="491">F131</f>
        <v>0</v>
      </c>
      <c r="G133" s="217">
        <f t="shared" si="491"/>
        <v>0</v>
      </c>
      <c r="H133" s="217">
        <f>H131</f>
        <v>2.166666666666667</v>
      </c>
      <c r="I133" s="217">
        <f>C133*70+D133*45+E133*25+H133*75+G133*60+F133*150</f>
        <v>658.125</v>
      </c>
      <c r="J133" s="92" t="s">
        <v>169</v>
      </c>
      <c r="K133" s="92">
        <v>0.4</v>
      </c>
      <c r="L133" s="145" t="str">
        <f t="shared" si="485"/>
        <v>公斤</v>
      </c>
      <c r="M133" s="92" t="s">
        <v>66</v>
      </c>
      <c r="N133" s="92">
        <v>1.5</v>
      </c>
      <c r="O133" s="145" t="str">
        <f t="shared" si="270"/>
        <v>公斤</v>
      </c>
      <c r="P133" s="128" t="s">
        <v>160</v>
      </c>
      <c r="Q133" s="128">
        <v>4</v>
      </c>
      <c r="R133" s="145" t="str">
        <f t="shared" si="271"/>
        <v>公斤</v>
      </c>
      <c r="S133" s="133" t="s">
        <v>488</v>
      </c>
      <c r="T133" s="132">
        <v>6</v>
      </c>
      <c r="U133" s="145" t="str">
        <f t="shared" si="272"/>
        <v>公斤</v>
      </c>
      <c r="V133" s="128" t="s">
        <v>64</v>
      </c>
      <c r="W133" s="128">
        <v>0.05</v>
      </c>
      <c r="X133" s="145" t="str">
        <f t="shared" si="273"/>
        <v>公斤</v>
      </c>
      <c r="Y133" s="92" t="s">
        <v>126</v>
      </c>
      <c r="Z133" s="92">
        <v>0.3</v>
      </c>
      <c r="AA133" s="145" t="str">
        <f t="shared" si="274"/>
        <v>公斤</v>
      </c>
      <c r="AB133" s="94"/>
      <c r="AC133" s="233"/>
      <c r="AD133" s="231"/>
      <c r="AE133" s="231"/>
      <c r="AF133" s="5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  <c r="AR133" s="231"/>
    </row>
    <row r="134" spans="1:51" s="229" customFormat="1" ht="15" customHeight="1">
      <c r="A134" s="241"/>
      <c r="B134" s="113"/>
      <c r="C134" s="116"/>
      <c r="D134" s="116"/>
      <c r="E134" s="116"/>
      <c r="F134" s="116"/>
      <c r="G134" s="116"/>
      <c r="H134" s="116"/>
      <c r="I134" s="116"/>
      <c r="J134" s="92"/>
      <c r="K134" s="92"/>
      <c r="L134" s="145" t="str">
        <f t="shared" si="269"/>
        <v/>
      </c>
      <c r="M134" s="92" t="s">
        <v>58</v>
      </c>
      <c r="N134" s="92">
        <v>0.5</v>
      </c>
      <c r="O134" s="145" t="str">
        <f t="shared" si="270"/>
        <v>公斤</v>
      </c>
      <c r="P134" s="128" t="s">
        <v>58</v>
      </c>
      <c r="Q134" s="128">
        <v>1</v>
      </c>
      <c r="R134" s="145" t="str">
        <f t="shared" si="271"/>
        <v>公斤</v>
      </c>
      <c r="S134" s="132" t="s">
        <v>476</v>
      </c>
      <c r="T134" s="132">
        <v>0.5</v>
      </c>
      <c r="U134" s="145" t="str">
        <f t="shared" si="272"/>
        <v>公斤</v>
      </c>
      <c r="V134" s="128"/>
      <c r="W134" s="128"/>
      <c r="X134" s="145" t="str">
        <f t="shared" si="273"/>
        <v/>
      </c>
      <c r="Y134" s="92" t="s">
        <v>64</v>
      </c>
      <c r="Z134" s="92">
        <v>0.05</v>
      </c>
      <c r="AA134" s="145" t="str">
        <f t="shared" si="274"/>
        <v>公斤</v>
      </c>
      <c r="AB134" s="232"/>
      <c r="AC134" s="233"/>
      <c r="AD134" s="231"/>
      <c r="AE134" s="231"/>
      <c r="AF134" s="51"/>
      <c r="AG134" s="231"/>
      <c r="AH134" s="231"/>
      <c r="AI134" s="231"/>
      <c r="AJ134" s="231"/>
      <c r="AK134" s="231"/>
      <c r="AL134" s="231"/>
      <c r="AM134" s="231"/>
      <c r="AN134" s="231"/>
      <c r="AO134" s="231"/>
      <c r="AP134" s="231"/>
      <c r="AQ134" s="231"/>
      <c r="AR134" s="231"/>
    </row>
    <row r="135" spans="1:51" s="229" customFormat="1" ht="15" customHeight="1">
      <c r="A135" s="241"/>
      <c r="B135" s="113"/>
      <c r="C135" s="116"/>
      <c r="D135" s="116"/>
      <c r="E135" s="116"/>
      <c r="F135" s="116"/>
      <c r="G135" s="116"/>
      <c r="H135" s="116"/>
      <c r="I135" s="116"/>
      <c r="J135" s="92"/>
      <c r="K135" s="92"/>
      <c r="L135" s="145" t="str">
        <f t="shared" si="269"/>
        <v/>
      </c>
      <c r="M135" s="92" t="s">
        <v>174</v>
      </c>
      <c r="N135" s="92">
        <v>1.5</v>
      </c>
      <c r="O135" s="145" t="str">
        <f t="shared" si="270"/>
        <v>公斤</v>
      </c>
      <c r="P135" s="128" t="s">
        <v>64</v>
      </c>
      <c r="Q135" s="128">
        <v>0.05</v>
      </c>
      <c r="R135" s="145" t="str">
        <f t="shared" si="271"/>
        <v>公斤</v>
      </c>
      <c r="S135" s="132" t="s">
        <v>480</v>
      </c>
      <c r="T135" s="132">
        <v>0.05</v>
      </c>
      <c r="U135" s="145" t="str">
        <f t="shared" si="272"/>
        <v>公斤</v>
      </c>
      <c r="V135" s="128"/>
      <c r="W135" s="128"/>
      <c r="X135" s="145" t="str">
        <f t="shared" si="273"/>
        <v/>
      </c>
      <c r="Y135" s="92"/>
      <c r="Z135" s="92"/>
      <c r="AA135" s="145" t="str">
        <f t="shared" si="274"/>
        <v/>
      </c>
      <c r="AB135" s="232"/>
      <c r="AC135" s="233"/>
      <c r="AD135" s="231"/>
      <c r="AE135" s="231"/>
      <c r="AF135" s="51"/>
      <c r="AG135" s="231"/>
      <c r="AH135" s="231"/>
      <c r="AI135" s="231"/>
      <c r="AJ135" s="231"/>
      <c r="AK135" s="231"/>
      <c r="AL135" s="231"/>
      <c r="AM135" s="231"/>
      <c r="AN135" s="231"/>
      <c r="AO135" s="231"/>
      <c r="AP135" s="231"/>
      <c r="AQ135" s="231"/>
      <c r="AR135" s="231"/>
    </row>
    <row r="136" spans="1:51" s="229" customFormat="1" ht="15" customHeight="1">
      <c r="A136" s="241"/>
      <c r="B136" s="113"/>
      <c r="C136" s="116"/>
      <c r="D136" s="116"/>
      <c r="E136" s="116"/>
      <c r="F136" s="116"/>
      <c r="G136" s="116"/>
      <c r="H136" s="116"/>
      <c r="I136" s="116"/>
      <c r="J136" s="92"/>
      <c r="K136" s="92"/>
      <c r="L136" s="145" t="str">
        <f t="shared" si="269"/>
        <v/>
      </c>
      <c r="M136" s="92" t="s">
        <v>64</v>
      </c>
      <c r="N136" s="92">
        <v>0.05</v>
      </c>
      <c r="O136" s="145" t="str">
        <f t="shared" si="270"/>
        <v>公斤</v>
      </c>
      <c r="P136" s="128"/>
      <c r="Q136" s="128"/>
      <c r="R136" s="145" t="str">
        <f t="shared" si="271"/>
        <v/>
      </c>
      <c r="S136" s="132"/>
      <c r="T136" s="132"/>
      <c r="U136" s="145" t="str">
        <f t="shared" si="272"/>
        <v/>
      </c>
      <c r="V136" s="128"/>
      <c r="W136" s="128"/>
      <c r="X136" s="145" t="str">
        <f t="shared" si="273"/>
        <v/>
      </c>
      <c r="Y136" s="92"/>
      <c r="Z136" s="92"/>
      <c r="AA136" s="145" t="str">
        <f t="shared" si="274"/>
        <v/>
      </c>
      <c r="AB136" s="232"/>
      <c r="AC136" s="233"/>
      <c r="AD136" s="231"/>
      <c r="AE136" s="231"/>
      <c r="AF136" s="51"/>
      <c r="AG136" s="231"/>
      <c r="AH136" s="231"/>
      <c r="AI136" s="231"/>
      <c r="AJ136" s="231"/>
      <c r="AK136" s="231"/>
      <c r="AL136" s="231"/>
      <c r="AM136" s="231"/>
      <c r="AN136" s="231"/>
      <c r="AO136" s="231"/>
      <c r="AP136" s="231"/>
      <c r="AQ136" s="231"/>
      <c r="AR136" s="231"/>
    </row>
    <row r="137" spans="1:51" s="229" customFormat="1" ht="15" customHeight="1" thickBot="1">
      <c r="A137" s="242"/>
      <c r="B137" s="115"/>
      <c r="C137" s="117"/>
      <c r="D137" s="117"/>
      <c r="E137" s="117"/>
      <c r="F137" s="117"/>
      <c r="G137" s="117"/>
      <c r="H137" s="117"/>
      <c r="I137" s="117"/>
      <c r="J137" s="109"/>
      <c r="K137" s="109"/>
      <c r="L137" s="145" t="str">
        <f t="shared" si="269"/>
        <v/>
      </c>
      <c r="M137" s="109" t="s">
        <v>116</v>
      </c>
      <c r="N137" s="109">
        <v>0.05</v>
      </c>
      <c r="O137" s="145" t="str">
        <f t="shared" si="270"/>
        <v>公斤</v>
      </c>
      <c r="P137" s="129"/>
      <c r="Q137" s="129"/>
      <c r="R137" s="145" t="str">
        <f t="shared" si="271"/>
        <v/>
      </c>
      <c r="S137" s="136"/>
      <c r="T137" s="136"/>
      <c r="U137" s="145" t="str">
        <f t="shared" si="272"/>
        <v/>
      </c>
      <c r="V137" s="129"/>
      <c r="W137" s="129"/>
      <c r="X137" s="145" t="str">
        <f t="shared" si="273"/>
        <v/>
      </c>
      <c r="Y137" s="109"/>
      <c r="Z137" s="109"/>
      <c r="AA137" s="145" t="str">
        <f t="shared" si="274"/>
        <v/>
      </c>
      <c r="AB137" s="234"/>
      <c r="AC137" s="235"/>
      <c r="AD137" s="231"/>
      <c r="AE137" s="231"/>
      <c r="AF137" s="51"/>
      <c r="AG137" s="231"/>
      <c r="AH137" s="231"/>
      <c r="AI137" s="231"/>
      <c r="AJ137" s="231"/>
      <c r="AK137" s="231"/>
      <c r="AL137" s="231"/>
      <c r="AM137" s="231"/>
      <c r="AN137" s="231"/>
      <c r="AO137" s="231"/>
      <c r="AP137" s="231"/>
      <c r="AQ137" s="231"/>
      <c r="AR137" s="231"/>
    </row>
    <row r="138" spans="1:51" s="229" customFormat="1" ht="15" customHeight="1">
      <c r="A138" s="111" t="s">
        <v>24</v>
      </c>
      <c r="B138" s="114" t="s">
        <v>276</v>
      </c>
      <c r="C138" s="112">
        <f>K139/2</f>
        <v>5</v>
      </c>
      <c r="D138" s="112">
        <f>(E138+H138)/2</f>
        <v>2.3874999999999997</v>
      </c>
      <c r="E138" s="112">
        <f>(N140+N141+N142+Q139*3+T139+T141+T142+W139+Z139+Z140+Z142)/10</f>
        <v>2.25</v>
      </c>
      <c r="F138" s="112">
        <v>0</v>
      </c>
      <c r="G138" s="112">
        <v>0</v>
      </c>
      <c r="H138" s="112">
        <f>N139/3.5+Q140/8+T140/4</f>
        <v>2.5249999999999995</v>
      </c>
      <c r="I138" s="112">
        <f>C138*70+D138*45+E138*25+H138*75+G138*60+F138*150</f>
        <v>703.0625</v>
      </c>
      <c r="J138" s="295" t="s">
        <v>99</v>
      </c>
      <c r="K138" s="296"/>
      <c r="L138" s="66"/>
      <c r="M138" s="295" t="s">
        <v>205</v>
      </c>
      <c r="N138" s="296"/>
      <c r="O138" s="66"/>
      <c r="P138" s="295" t="s">
        <v>206</v>
      </c>
      <c r="Q138" s="296"/>
      <c r="R138" s="66"/>
      <c r="S138" s="295" t="s">
        <v>207</v>
      </c>
      <c r="T138" s="296"/>
      <c r="U138" s="66"/>
      <c r="V138" s="295" t="s">
        <v>55</v>
      </c>
      <c r="W138" s="296"/>
      <c r="X138" s="66"/>
      <c r="Y138" s="295" t="s">
        <v>173</v>
      </c>
      <c r="Z138" s="296"/>
      <c r="AA138" s="66"/>
      <c r="AB138" s="237" t="s">
        <v>283</v>
      </c>
      <c r="AC138" s="239"/>
      <c r="AD138" s="51" t="str">
        <f t="shared" ref="AD138" si="492">A138</f>
        <v>E1</v>
      </c>
      <c r="AE138" s="51" t="str">
        <f t="shared" ref="AE138" si="493">J138</f>
        <v>白米飯</v>
      </c>
      <c r="AF138" s="51" t="str">
        <f t="shared" ref="AF138" si="494">J139&amp;" "&amp;J140&amp;" "&amp;J141&amp;" "&amp;J142&amp;" "&amp;J143&amp;" "&amp;J144</f>
        <v xml:space="preserve">米     </v>
      </c>
      <c r="AG138" s="51" t="str">
        <f t="shared" ref="AG138" si="495">M138</f>
        <v>茄汁麵腸</v>
      </c>
      <c r="AH138" s="51" t="str">
        <f t="shared" ref="AH138" si="496">M139&amp;" "&amp;M140&amp;" "&amp;M141&amp;" "&amp;M142&amp;" "&amp;M143&amp;" "&amp;M144</f>
        <v xml:space="preserve">麵腸 甜椒(青皮) 胡蘿蔔 大番茄 薑 </v>
      </c>
      <c r="AI138" s="51" t="str">
        <f t="shared" ref="AI138" si="497">P138</f>
        <v>海結凍腐</v>
      </c>
      <c r="AJ138" s="51" t="str">
        <f t="shared" ref="AJ138" si="498">P139&amp;" "&amp;P140&amp;" "&amp;P141&amp;" "&amp;P142&amp;" "&amp;P143&amp;" "&amp;P144</f>
        <v xml:space="preserve">乾海帶 凍豆腐 薑   </v>
      </c>
      <c r="AK138" s="51" t="str">
        <f t="shared" ref="AK138" si="499">S138</f>
        <v>素火腿豆芽</v>
      </c>
      <c r="AL138" s="51" t="str">
        <f t="shared" ref="AL138" si="500">S139&amp;" "&amp;S140&amp;" "&amp;S141&amp;" "&amp;S142&amp;" "&amp;S143&amp;" "&amp;S144</f>
        <v xml:space="preserve">綠豆芽 素火腿 芹菜 胡蘿蔔 薑 </v>
      </c>
      <c r="AM138" s="51" t="str">
        <f t="shared" ref="AM138" si="501">V138</f>
        <v>時蔬</v>
      </c>
      <c r="AN138" s="51" t="str">
        <f t="shared" ref="AN138" si="502">V139&amp;" "&amp;V140&amp;" "&amp;V141&amp;" "&amp;V142&amp;" "&amp;V143&amp;" "&amp;V144</f>
        <v xml:space="preserve">蔬菜 薑    </v>
      </c>
      <c r="AO138" s="51" t="str">
        <f t="shared" ref="AO138" si="503">Y138</f>
        <v>蘿蔔湯</v>
      </c>
      <c r="AP138" s="51" t="str">
        <f t="shared" ref="AP138" si="504">Y139&amp;" "&amp;Y140&amp;" "&amp;Y141&amp;" "&amp;Y142&amp;" "&amp;Y143&amp;" "&amp;Y144</f>
        <v xml:space="preserve">白蘿蔔 胡蘿蔔 薑 素羊肉  </v>
      </c>
      <c r="AQ138" s="51" t="str">
        <f>AB138</f>
        <v>點心</v>
      </c>
      <c r="AR138" s="51">
        <f>AC138</f>
        <v>0</v>
      </c>
      <c r="AS138" s="228">
        <f t="shared" ref="AS138" si="505">C138</f>
        <v>5</v>
      </c>
      <c r="AT138" s="228">
        <f t="shared" ref="AT138" si="506">H138</f>
        <v>2.5249999999999995</v>
      </c>
      <c r="AU138" s="228">
        <f t="shared" ref="AU138" si="507">E138</f>
        <v>2.25</v>
      </c>
      <c r="AV138" s="228">
        <f t="shared" ref="AV138" si="508">D138</f>
        <v>2.3874999999999997</v>
      </c>
      <c r="AW138" s="228">
        <f t="shared" ref="AW138" si="509">F138</f>
        <v>0</v>
      </c>
      <c r="AX138" s="228">
        <f t="shared" ref="AX138" si="510">G138</f>
        <v>0</v>
      </c>
      <c r="AY138" s="228">
        <f t="shared" ref="AY138" si="511">I138</f>
        <v>703.0625</v>
      </c>
    </row>
    <row r="139" spans="1:51" s="229" customFormat="1" ht="15" customHeight="1">
      <c r="A139" s="241"/>
      <c r="B139" s="113"/>
      <c r="C139" s="116"/>
      <c r="D139" s="116"/>
      <c r="E139" s="116"/>
      <c r="F139" s="116"/>
      <c r="G139" s="116"/>
      <c r="H139" s="116"/>
      <c r="I139" s="116"/>
      <c r="J139" s="92" t="s">
        <v>57</v>
      </c>
      <c r="K139" s="92">
        <v>10</v>
      </c>
      <c r="L139" s="145" t="str">
        <f t="shared" ref="L139:L165" si="512">IF(K139,"公斤","")</f>
        <v>公斤</v>
      </c>
      <c r="M139" s="92" t="s">
        <v>88</v>
      </c>
      <c r="N139" s="92">
        <v>5.6</v>
      </c>
      <c r="O139" s="145" t="str">
        <f t="shared" ref="O139:O165" si="513">IF(N139,"公斤","")</f>
        <v>公斤</v>
      </c>
      <c r="P139" s="92" t="s">
        <v>208</v>
      </c>
      <c r="Q139" s="92">
        <v>1</v>
      </c>
      <c r="R139" s="145" t="str">
        <f t="shared" ref="R139:R165" si="514">IF(Q139,"公斤","")</f>
        <v>公斤</v>
      </c>
      <c r="S139" s="92" t="s">
        <v>120</v>
      </c>
      <c r="T139" s="92">
        <v>4.5</v>
      </c>
      <c r="U139" s="145" t="str">
        <f t="shared" ref="U139:U165" si="515">IF(T139,"公斤","")</f>
        <v>公斤</v>
      </c>
      <c r="V139" s="92" t="s">
        <v>48</v>
      </c>
      <c r="W139" s="92">
        <v>7</v>
      </c>
      <c r="X139" s="145" t="str">
        <f t="shared" ref="X139:X165" si="516">IF(W139,"公斤","")</f>
        <v>公斤</v>
      </c>
      <c r="Y139" s="92" t="s">
        <v>65</v>
      </c>
      <c r="Z139" s="92">
        <v>3</v>
      </c>
      <c r="AA139" s="145" t="str">
        <f t="shared" ref="AA139:AA165" si="517">IF(Z139,"公斤","")</f>
        <v>公斤</v>
      </c>
      <c r="AB139" s="94" t="s">
        <v>283</v>
      </c>
      <c r="AC139" s="233"/>
      <c r="AD139" s="231"/>
      <c r="AE139" s="231"/>
      <c r="AF139" s="51"/>
      <c r="AG139" s="231"/>
      <c r="AH139" s="231"/>
      <c r="AI139" s="231"/>
      <c r="AJ139" s="231"/>
      <c r="AK139" s="231"/>
      <c r="AL139" s="231"/>
      <c r="AM139" s="231"/>
      <c r="AN139" s="231"/>
      <c r="AO139" s="231"/>
      <c r="AP139" s="231"/>
      <c r="AQ139" s="231"/>
      <c r="AR139" s="231"/>
    </row>
    <row r="140" spans="1:51" s="229" customFormat="1" ht="15" customHeight="1">
      <c r="A140" s="241"/>
      <c r="B140" s="217" t="s">
        <v>557</v>
      </c>
      <c r="C140" s="217">
        <f>C138</f>
        <v>5</v>
      </c>
      <c r="D140" s="217">
        <f>(E140+H140)/2</f>
        <v>1.9624999999999999</v>
      </c>
      <c r="E140" s="217">
        <f>E138-(T139+T141+T142)/10</f>
        <v>1.7</v>
      </c>
      <c r="F140" s="217">
        <f t="shared" ref="F140:G140" si="518">F138</f>
        <v>0</v>
      </c>
      <c r="G140" s="217">
        <f t="shared" si="518"/>
        <v>0</v>
      </c>
      <c r="H140" s="217">
        <f>H138-T140/4</f>
        <v>2.2249999999999996</v>
      </c>
      <c r="I140" s="217">
        <f>C140*70+D140*45+E140*25+H140*75+G140*60+F140*150</f>
        <v>647.6875</v>
      </c>
      <c r="J140" s="92"/>
      <c r="K140" s="92"/>
      <c r="L140" s="145" t="str">
        <f t="shared" si="512"/>
        <v/>
      </c>
      <c r="M140" s="92" t="s">
        <v>155</v>
      </c>
      <c r="N140" s="92">
        <v>1.5</v>
      </c>
      <c r="O140" s="145" t="str">
        <f t="shared" si="513"/>
        <v>公斤</v>
      </c>
      <c r="P140" s="92" t="s">
        <v>102</v>
      </c>
      <c r="Q140" s="92">
        <v>5</v>
      </c>
      <c r="R140" s="145" t="str">
        <f t="shared" si="514"/>
        <v>公斤</v>
      </c>
      <c r="S140" s="92" t="s">
        <v>110</v>
      </c>
      <c r="T140" s="92">
        <v>1.2</v>
      </c>
      <c r="U140" s="145" t="str">
        <f t="shared" si="515"/>
        <v>公斤</v>
      </c>
      <c r="V140" s="92" t="s">
        <v>64</v>
      </c>
      <c r="W140" s="92">
        <v>0.05</v>
      </c>
      <c r="X140" s="145" t="str">
        <f t="shared" si="516"/>
        <v>公斤</v>
      </c>
      <c r="Y140" s="92" t="s">
        <v>58</v>
      </c>
      <c r="Z140" s="92">
        <v>0.5</v>
      </c>
      <c r="AA140" s="145" t="str">
        <f t="shared" si="517"/>
        <v>公斤</v>
      </c>
      <c r="AB140" s="94"/>
      <c r="AC140" s="233"/>
      <c r="AD140" s="231"/>
      <c r="AE140" s="231"/>
      <c r="AF140" s="51"/>
      <c r="AG140" s="231"/>
      <c r="AH140" s="231"/>
      <c r="AI140" s="231"/>
      <c r="AJ140" s="231"/>
      <c r="AK140" s="231"/>
      <c r="AL140" s="231"/>
      <c r="AM140" s="231"/>
      <c r="AN140" s="231"/>
      <c r="AO140" s="231"/>
      <c r="AP140" s="231"/>
      <c r="AQ140" s="231"/>
      <c r="AR140" s="231"/>
    </row>
    <row r="141" spans="1:51" s="229" customFormat="1" ht="15" customHeight="1">
      <c r="A141" s="241"/>
      <c r="B141" s="217"/>
      <c r="C141" s="217"/>
      <c r="D141" s="217"/>
      <c r="E141" s="217"/>
      <c r="F141" s="217"/>
      <c r="G141" s="217"/>
      <c r="H141" s="217"/>
      <c r="I141" s="217"/>
      <c r="J141" s="92"/>
      <c r="K141" s="92"/>
      <c r="L141" s="145" t="str">
        <f t="shared" si="512"/>
        <v/>
      </c>
      <c r="M141" s="92" t="s">
        <v>58</v>
      </c>
      <c r="N141" s="92">
        <v>0.5</v>
      </c>
      <c r="O141" s="145" t="str">
        <f t="shared" si="513"/>
        <v>公斤</v>
      </c>
      <c r="P141" s="92" t="s">
        <v>64</v>
      </c>
      <c r="Q141" s="92">
        <v>0.05</v>
      </c>
      <c r="R141" s="145" t="str">
        <f t="shared" si="514"/>
        <v>公斤</v>
      </c>
      <c r="S141" s="92" t="s">
        <v>66</v>
      </c>
      <c r="T141" s="92">
        <v>0.5</v>
      </c>
      <c r="U141" s="145" t="str">
        <f t="shared" si="515"/>
        <v>公斤</v>
      </c>
      <c r="V141" s="92"/>
      <c r="W141" s="92"/>
      <c r="X141" s="145" t="str">
        <f t="shared" si="516"/>
        <v/>
      </c>
      <c r="Y141" s="92" t="s">
        <v>64</v>
      </c>
      <c r="Z141" s="92">
        <v>0.05</v>
      </c>
      <c r="AA141" s="145" t="str">
        <f t="shared" si="517"/>
        <v>公斤</v>
      </c>
      <c r="AB141" s="232"/>
      <c r="AC141" s="233"/>
      <c r="AD141" s="231"/>
      <c r="AE141" s="231"/>
      <c r="AF141" s="51"/>
      <c r="AG141" s="231"/>
      <c r="AH141" s="231"/>
      <c r="AI141" s="231"/>
      <c r="AJ141" s="231"/>
      <c r="AK141" s="231"/>
      <c r="AL141" s="231"/>
      <c r="AM141" s="231"/>
      <c r="AN141" s="231"/>
      <c r="AO141" s="231"/>
      <c r="AP141" s="231"/>
      <c r="AQ141" s="231"/>
      <c r="AR141" s="231"/>
    </row>
    <row r="142" spans="1:51" s="229" customFormat="1" ht="15" customHeight="1">
      <c r="A142" s="241"/>
      <c r="B142" s="113"/>
      <c r="C142" s="116"/>
      <c r="D142" s="116"/>
      <c r="E142" s="116"/>
      <c r="F142" s="116"/>
      <c r="G142" s="116"/>
      <c r="H142" s="116"/>
      <c r="I142" s="116"/>
      <c r="J142" s="92"/>
      <c r="K142" s="92"/>
      <c r="L142" s="145" t="str">
        <f t="shared" si="512"/>
        <v/>
      </c>
      <c r="M142" s="92" t="s">
        <v>81</v>
      </c>
      <c r="N142" s="92">
        <v>1</v>
      </c>
      <c r="O142" s="145" t="str">
        <f t="shared" si="513"/>
        <v>公斤</v>
      </c>
      <c r="P142" s="92"/>
      <c r="Q142" s="92"/>
      <c r="R142" s="145" t="str">
        <f t="shared" si="514"/>
        <v/>
      </c>
      <c r="S142" s="92" t="s">
        <v>58</v>
      </c>
      <c r="T142" s="92">
        <v>0.5</v>
      </c>
      <c r="U142" s="145" t="str">
        <f t="shared" si="515"/>
        <v>公斤</v>
      </c>
      <c r="V142" s="92"/>
      <c r="W142" s="92"/>
      <c r="X142" s="145" t="str">
        <f t="shared" si="516"/>
        <v/>
      </c>
      <c r="Y142" s="92" t="s">
        <v>97</v>
      </c>
      <c r="Z142" s="92">
        <v>0.5</v>
      </c>
      <c r="AA142" s="145" t="str">
        <f t="shared" si="517"/>
        <v>公斤</v>
      </c>
      <c r="AB142" s="232"/>
      <c r="AC142" s="233"/>
      <c r="AD142" s="231"/>
      <c r="AE142" s="231"/>
      <c r="AF142" s="5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</row>
    <row r="143" spans="1:51" s="229" customFormat="1" ht="15" customHeight="1">
      <c r="A143" s="241"/>
      <c r="B143" s="113"/>
      <c r="C143" s="116"/>
      <c r="D143" s="116"/>
      <c r="E143" s="116"/>
      <c r="F143" s="116"/>
      <c r="G143" s="116"/>
      <c r="H143" s="116"/>
      <c r="I143" s="116"/>
      <c r="J143" s="92"/>
      <c r="K143" s="92"/>
      <c r="L143" s="145" t="str">
        <f t="shared" si="512"/>
        <v/>
      </c>
      <c r="M143" s="92" t="s">
        <v>64</v>
      </c>
      <c r="N143" s="92">
        <v>0.05</v>
      </c>
      <c r="O143" s="145" t="str">
        <f t="shared" si="513"/>
        <v>公斤</v>
      </c>
      <c r="P143" s="92"/>
      <c r="Q143" s="92"/>
      <c r="R143" s="145" t="str">
        <f t="shared" si="514"/>
        <v/>
      </c>
      <c r="S143" s="92" t="s">
        <v>64</v>
      </c>
      <c r="T143" s="92">
        <v>0.05</v>
      </c>
      <c r="U143" s="145" t="str">
        <f t="shared" si="515"/>
        <v>公斤</v>
      </c>
      <c r="V143" s="92"/>
      <c r="W143" s="92"/>
      <c r="X143" s="145" t="str">
        <f t="shared" si="516"/>
        <v/>
      </c>
      <c r="Y143" s="92"/>
      <c r="Z143" s="92"/>
      <c r="AA143" s="145" t="str">
        <f t="shared" si="517"/>
        <v/>
      </c>
      <c r="AB143" s="232"/>
      <c r="AC143" s="233"/>
      <c r="AD143" s="231"/>
      <c r="AE143" s="231"/>
      <c r="AF143" s="51"/>
      <c r="AG143" s="231"/>
      <c r="AH143" s="231"/>
      <c r="AI143" s="231"/>
      <c r="AJ143" s="231"/>
      <c r="AK143" s="231"/>
      <c r="AL143" s="231"/>
      <c r="AM143" s="231"/>
      <c r="AN143" s="231"/>
      <c r="AO143" s="231"/>
      <c r="AP143" s="231"/>
      <c r="AQ143" s="231"/>
      <c r="AR143" s="231"/>
    </row>
    <row r="144" spans="1:51" s="229" customFormat="1" ht="15" customHeight="1" thickBot="1">
      <c r="A144" s="242"/>
      <c r="B144" s="115"/>
      <c r="C144" s="117"/>
      <c r="D144" s="117"/>
      <c r="E144" s="117"/>
      <c r="F144" s="117"/>
      <c r="G144" s="117"/>
      <c r="H144" s="117"/>
      <c r="I144" s="117"/>
      <c r="J144" s="109"/>
      <c r="K144" s="109"/>
      <c r="L144" s="145" t="str">
        <f t="shared" si="512"/>
        <v/>
      </c>
      <c r="M144" s="109"/>
      <c r="N144" s="109"/>
      <c r="O144" s="145" t="str">
        <f t="shared" si="513"/>
        <v/>
      </c>
      <c r="P144" s="109"/>
      <c r="Q144" s="109"/>
      <c r="R144" s="145" t="str">
        <f t="shared" si="514"/>
        <v/>
      </c>
      <c r="S144" s="109"/>
      <c r="T144" s="109"/>
      <c r="U144" s="145" t="str">
        <f t="shared" si="515"/>
        <v/>
      </c>
      <c r="V144" s="109"/>
      <c r="W144" s="109"/>
      <c r="X144" s="145" t="str">
        <f t="shared" si="516"/>
        <v/>
      </c>
      <c r="Y144" s="109"/>
      <c r="Z144" s="109"/>
      <c r="AA144" s="145" t="str">
        <f t="shared" si="517"/>
        <v/>
      </c>
      <c r="AB144" s="234"/>
      <c r="AC144" s="235"/>
      <c r="AD144" s="231"/>
      <c r="AE144" s="231"/>
      <c r="AF144" s="51"/>
      <c r="AG144" s="231"/>
      <c r="AH144" s="231"/>
      <c r="AI144" s="231"/>
      <c r="AJ144" s="231"/>
      <c r="AK144" s="231"/>
      <c r="AL144" s="231"/>
      <c r="AM144" s="231"/>
      <c r="AN144" s="231"/>
      <c r="AO144" s="231"/>
      <c r="AP144" s="231"/>
      <c r="AQ144" s="231"/>
      <c r="AR144" s="231"/>
    </row>
    <row r="145" spans="1:51" s="229" customFormat="1" ht="15" customHeight="1">
      <c r="A145" s="111" t="s">
        <v>25</v>
      </c>
      <c r="B145" s="114" t="s">
        <v>276</v>
      </c>
      <c r="C145" s="112">
        <f>K146/2+K147/2</f>
        <v>5</v>
      </c>
      <c r="D145" s="112">
        <f>(E145+H145)/2</f>
        <v>2.2503030303030305</v>
      </c>
      <c r="E145" s="112">
        <f>(Q146+Q148+T146+T147+W146+Z146*5)/10</f>
        <v>2</v>
      </c>
      <c r="F145" s="112">
        <v>0</v>
      </c>
      <c r="G145" s="112">
        <v>0</v>
      </c>
      <c r="H145" s="112">
        <f>N146/5.5+Q147/5.5+T148/1.5+Z147/5</f>
        <v>2.5006060606060609</v>
      </c>
      <c r="I145" s="112">
        <f>C145*70+D145*45+E145*25+H145*75+G145*60+F145*150</f>
        <v>688.80909090909086</v>
      </c>
      <c r="J145" s="127" t="s">
        <v>71</v>
      </c>
      <c r="K145" s="236"/>
      <c r="L145" s="66"/>
      <c r="M145" s="237" t="s">
        <v>467</v>
      </c>
      <c r="N145" s="238"/>
      <c r="O145" s="66"/>
      <c r="P145" s="237" t="s">
        <v>26</v>
      </c>
      <c r="Q145" s="238"/>
      <c r="R145" s="66"/>
      <c r="S145" s="127" t="s">
        <v>209</v>
      </c>
      <c r="T145" s="236"/>
      <c r="U145" s="66"/>
      <c r="V145" s="127" t="s">
        <v>55</v>
      </c>
      <c r="W145" s="236"/>
      <c r="X145" s="66"/>
      <c r="Y145" s="237" t="s">
        <v>468</v>
      </c>
      <c r="Z145" s="238"/>
      <c r="AA145" s="66"/>
      <c r="AB145" s="237" t="s">
        <v>283</v>
      </c>
      <c r="AC145" s="239"/>
      <c r="AD145" s="51" t="str">
        <f t="shared" ref="AD145" si="519">A145</f>
        <v>E2</v>
      </c>
      <c r="AE145" s="51" t="str">
        <f t="shared" ref="AE145" si="520">J145</f>
        <v>糙米飯</v>
      </c>
      <c r="AF145" s="51" t="str">
        <f t="shared" ref="AF145" si="521">J146&amp;" "&amp;J147&amp;" "&amp;J148&amp;" "&amp;J149&amp;" "&amp;J150&amp;" "&amp;J151</f>
        <v xml:space="preserve">米 糙米    </v>
      </c>
      <c r="AG145" s="51" t="str">
        <f t="shared" ref="AG145" si="522">M145</f>
        <v>奶香油豆腐</v>
      </c>
      <c r="AH145" s="51" t="str">
        <f t="shared" ref="AH145" si="523">M146&amp;" "&amp;M147&amp;" "&amp;M148&amp;" "&amp;M149&amp;" "&amp;M150&amp;" "&amp;M151</f>
        <v xml:space="preserve">油豆腐 甜椒(紅皮) 奶油(固態)   </v>
      </c>
      <c r="AI145" s="51" t="str">
        <f t="shared" ref="AI145" si="524">P145</f>
        <v>刈薯炒蛋</v>
      </c>
      <c r="AJ145" s="51" t="str">
        <f t="shared" ref="AJ145" si="525">P146&amp;" "&amp;P147&amp;" "&amp;P148&amp;" "&amp;P149&amp;" "&amp;P150&amp;" "&amp;P151</f>
        <v xml:space="preserve">刈薯 雞蛋 胡蘿蔔   </v>
      </c>
      <c r="AK145" s="51" t="str">
        <f t="shared" ref="AK145" si="526">S145</f>
        <v>麵筋玉菜</v>
      </c>
      <c r="AL145" s="51" t="str">
        <f t="shared" ref="AL145" si="527">S146&amp;" "&amp;S147&amp;" "&amp;S148&amp;" "&amp;S149&amp;" "&amp;S150&amp;" "&amp;S151</f>
        <v xml:space="preserve">甘藍 胡蘿蔔 麵筋泡   </v>
      </c>
      <c r="AM145" s="51" t="str">
        <f t="shared" ref="AM145" si="528">V145</f>
        <v>時蔬</v>
      </c>
      <c r="AN145" s="51" t="str">
        <f t="shared" ref="AN145" si="529">V146&amp;" "&amp;V147&amp;" "&amp;V148&amp;" "&amp;V149&amp;" "&amp;V150&amp;" "&amp;V151</f>
        <v xml:space="preserve">蔬菜 薑    </v>
      </c>
      <c r="AO145" s="51" t="str">
        <f t="shared" ref="AO145" si="530">Y145</f>
        <v>紫菜素丸湯</v>
      </c>
      <c r="AP145" s="51" t="str">
        <f t="shared" ref="AP145" si="531">Y146&amp;" "&amp;Y147&amp;" "&amp;Y148&amp;" "&amp;Y149&amp;" "&amp;Y150&amp;" "&amp;Y151</f>
        <v xml:space="preserve">紫菜 素丸 薑   </v>
      </c>
      <c r="AQ145" s="51" t="str">
        <f>AB145</f>
        <v>點心</v>
      </c>
      <c r="AR145" s="51">
        <f>AC145</f>
        <v>0</v>
      </c>
      <c r="AS145" s="228">
        <f t="shared" ref="AS145" si="532">C145</f>
        <v>5</v>
      </c>
      <c r="AT145" s="228">
        <f t="shared" ref="AT145" si="533">H145</f>
        <v>2.5006060606060609</v>
      </c>
      <c r="AU145" s="228">
        <f t="shared" ref="AU145" si="534">E145</f>
        <v>2</v>
      </c>
      <c r="AV145" s="228">
        <f t="shared" ref="AV145" si="535">D145</f>
        <v>2.2503030303030305</v>
      </c>
      <c r="AW145" s="228">
        <f t="shared" ref="AW145" si="536">F145</f>
        <v>0</v>
      </c>
      <c r="AX145" s="228">
        <f t="shared" ref="AX145" si="537">G145</f>
        <v>0</v>
      </c>
      <c r="AY145" s="228">
        <f t="shared" ref="AY145" si="538">I145</f>
        <v>688.80909090909086</v>
      </c>
    </row>
    <row r="146" spans="1:51" s="229" customFormat="1" ht="15" customHeight="1">
      <c r="A146" s="241"/>
      <c r="B146" s="113"/>
      <c r="C146" s="116"/>
      <c r="D146" s="116"/>
      <c r="E146" s="116"/>
      <c r="F146" s="116"/>
      <c r="G146" s="116"/>
      <c r="H146" s="116"/>
      <c r="I146" s="116"/>
      <c r="J146" s="92" t="s">
        <v>57</v>
      </c>
      <c r="K146" s="92">
        <v>7</v>
      </c>
      <c r="L146" s="145" t="str">
        <f t="shared" ref="L146:L147" si="539">IF(K146,"公斤","")</f>
        <v>公斤</v>
      </c>
      <c r="M146" s="94" t="s">
        <v>469</v>
      </c>
      <c r="N146" s="94">
        <v>6.5</v>
      </c>
      <c r="O146" s="145" t="str">
        <f t="shared" ref="O146" si="540">IF(N146,"公斤","")</f>
        <v>公斤</v>
      </c>
      <c r="P146" s="94" t="s">
        <v>27</v>
      </c>
      <c r="Q146" s="94">
        <v>4.5</v>
      </c>
      <c r="R146" s="145" t="str">
        <f t="shared" ref="R146" si="541">IF(Q146,"公斤","")</f>
        <v>公斤</v>
      </c>
      <c r="S146" s="92" t="s">
        <v>63</v>
      </c>
      <c r="T146" s="92">
        <v>6</v>
      </c>
      <c r="U146" s="145" t="str">
        <f t="shared" ref="U146" si="542">IF(T146,"公斤","")</f>
        <v>公斤</v>
      </c>
      <c r="V146" s="92" t="s">
        <v>48</v>
      </c>
      <c r="W146" s="92">
        <v>7</v>
      </c>
      <c r="X146" s="145" t="str">
        <f t="shared" ref="X146" si="543">IF(W146,"公斤","")</f>
        <v>公斤</v>
      </c>
      <c r="Y146" s="94" t="s">
        <v>210</v>
      </c>
      <c r="Z146" s="94">
        <v>0.2</v>
      </c>
      <c r="AA146" s="145" t="str">
        <f t="shared" ref="AA146" si="544">IF(Z146,"公斤","")</f>
        <v>公斤</v>
      </c>
      <c r="AB146" s="94" t="s">
        <v>283</v>
      </c>
      <c r="AC146" s="233"/>
      <c r="AD146" s="231"/>
      <c r="AE146" s="231"/>
      <c r="AF146" s="51"/>
      <c r="AG146" s="231"/>
      <c r="AH146" s="231"/>
      <c r="AI146" s="231"/>
      <c r="AJ146" s="231"/>
      <c r="AK146" s="231"/>
      <c r="AL146" s="231"/>
      <c r="AM146" s="231"/>
      <c r="AN146" s="231"/>
      <c r="AO146" s="231"/>
      <c r="AP146" s="231"/>
      <c r="AQ146" s="231"/>
      <c r="AR146" s="231"/>
    </row>
    <row r="147" spans="1:51" s="229" customFormat="1" ht="15" customHeight="1">
      <c r="A147" s="241"/>
      <c r="B147" s="217" t="s">
        <v>557</v>
      </c>
      <c r="C147" s="217">
        <f>C145</f>
        <v>5</v>
      </c>
      <c r="D147" s="217">
        <f>(E147+H147)/2</f>
        <v>1.6586363636363639</v>
      </c>
      <c r="E147" s="217">
        <f>E145-(T147+T146)/10</f>
        <v>1.35</v>
      </c>
      <c r="F147" s="217">
        <f t="shared" ref="F147:G147" si="545">F145</f>
        <v>0</v>
      </c>
      <c r="G147" s="217">
        <f t="shared" si="545"/>
        <v>0</v>
      </c>
      <c r="H147" s="217">
        <f>H145-T148/1.5</f>
        <v>1.9672727272727277</v>
      </c>
      <c r="I147" s="217">
        <f>C147*70+D147*45+E147*25+H147*75+G147*60+F147*150</f>
        <v>605.93409090909097</v>
      </c>
      <c r="J147" s="92" t="s">
        <v>61</v>
      </c>
      <c r="K147" s="92">
        <v>3</v>
      </c>
      <c r="L147" s="145" t="str">
        <f t="shared" si="539"/>
        <v>公斤</v>
      </c>
      <c r="M147" s="94" t="s">
        <v>211</v>
      </c>
      <c r="N147" s="94">
        <v>2.5</v>
      </c>
      <c r="O147" s="145" t="str">
        <f t="shared" si="513"/>
        <v>公斤</v>
      </c>
      <c r="P147" s="94" t="s">
        <v>28</v>
      </c>
      <c r="Q147" s="94">
        <v>3</v>
      </c>
      <c r="R147" s="145" t="str">
        <f t="shared" si="514"/>
        <v>公斤</v>
      </c>
      <c r="S147" s="92" t="s">
        <v>58</v>
      </c>
      <c r="T147" s="92">
        <v>0.5</v>
      </c>
      <c r="U147" s="145" t="str">
        <f t="shared" si="515"/>
        <v>公斤</v>
      </c>
      <c r="V147" s="92" t="s">
        <v>64</v>
      </c>
      <c r="W147" s="92">
        <v>0.05</v>
      </c>
      <c r="X147" s="145" t="str">
        <f t="shared" si="516"/>
        <v>公斤</v>
      </c>
      <c r="Y147" s="94" t="s">
        <v>470</v>
      </c>
      <c r="Z147" s="94">
        <v>1.2</v>
      </c>
      <c r="AA147" s="145" t="str">
        <f t="shared" si="517"/>
        <v>公斤</v>
      </c>
      <c r="AB147" s="94"/>
      <c r="AC147" s="233"/>
      <c r="AD147" s="231"/>
      <c r="AE147" s="231"/>
      <c r="AF147" s="5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31"/>
      <c r="AQ147" s="231"/>
      <c r="AR147" s="231"/>
    </row>
    <row r="148" spans="1:51" s="229" customFormat="1" ht="15" customHeight="1">
      <c r="A148" s="241"/>
      <c r="B148" s="217"/>
      <c r="C148" s="217"/>
      <c r="D148" s="217"/>
      <c r="E148" s="217"/>
      <c r="F148" s="217"/>
      <c r="G148" s="217"/>
      <c r="H148" s="217"/>
      <c r="I148" s="217"/>
      <c r="J148" s="92"/>
      <c r="K148" s="92"/>
      <c r="L148" s="145" t="str">
        <f t="shared" si="512"/>
        <v/>
      </c>
      <c r="M148" s="94" t="s">
        <v>212</v>
      </c>
      <c r="N148" s="94">
        <v>0.6</v>
      </c>
      <c r="O148" s="145" t="str">
        <f t="shared" si="513"/>
        <v>公斤</v>
      </c>
      <c r="P148" s="94" t="s">
        <v>8</v>
      </c>
      <c r="Q148" s="94">
        <v>1</v>
      </c>
      <c r="R148" s="145" t="str">
        <f t="shared" si="514"/>
        <v>公斤</v>
      </c>
      <c r="S148" s="92" t="s">
        <v>466</v>
      </c>
      <c r="T148" s="92">
        <v>0.8</v>
      </c>
      <c r="U148" s="145" t="str">
        <f t="shared" si="515"/>
        <v>公斤</v>
      </c>
      <c r="V148" s="92"/>
      <c r="W148" s="92"/>
      <c r="X148" s="145" t="str">
        <f t="shared" si="516"/>
        <v/>
      </c>
      <c r="Y148" s="94" t="s">
        <v>117</v>
      </c>
      <c r="Z148" s="94">
        <v>0.05</v>
      </c>
      <c r="AA148" s="145" t="str">
        <f t="shared" si="517"/>
        <v>公斤</v>
      </c>
      <c r="AB148" s="232"/>
      <c r="AC148" s="233"/>
      <c r="AD148" s="231"/>
      <c r="AE148" s="231"/>
      <c r="AF148" s="51"/>
      <c r="AG148" s="231"/>
      <c r="AH148" s="231"/>
      <c r="AI148" s="231"/>
      <c r="AJ148" s="231"/>
      <c r="AK148" s="231"/>
      <c r="AL148" s="231"/>
      <c r="AM148" s="231"/>
      <c r="AN148" s="231"/>
      <c r="AO148" s="231"/>
      <c r="AP148" s="231"/>
      <c r="AQ148" s="231"/>
      <c r="AR148" s="231"/>
    </row>
    <row r="149" spans="1:51" s="229" customFormat="1" ht="15" customHeight="1">
      <c r="A149" s="241"/>
      <c r="B149" s="113"/>
      <c r="C149" s="116"/>
      <c r="D149" s="116"/>
      <c r="E149" s="116"/>
      <c r="F149" s="116"/>
      <c r="G149" s="116"/>
      <c r="H149" s="116"/>
      <c r="I149" s="116"/>
      <c r="J149" s="92"/>
      <c r="K149" s="92"/>
      <c r="L149" s="145" t="str">
        <f t="shared" si="512"/>
        <v/>
      </c>
      <c r="M149" s="94"/>
      <c r="N149" s="94"/>
      <c r="O149" s="145" t="str">
        <f t="shared" si="513"/>
        <v/>
      </c>
      <c r="P149" s="94"/>
      <c r="Q149" s="94"/>
      <c r="R149" s="145" t="str">
        <f t="shared" si="514"/>
        <v/>
      </c>
      <c r="S149" s="92"/>
      <c r="T149" s="92"/>
      <c r="U149" s="145" t="str">
        <f t="shared" si="515"/>
        <v/>
      </c>
      <c r="V149" s="92"/>
      <c r="W149" s="92"/>
      <c r="X149" s="145" t="str">
        <f t="shared" si="516"/>
        <v/>
      </c>
      <c r="Y149" s="94"/>
      <c r="Z149" s="94"/>
      <c r="AA149" s="145" t="str">
        <f t="shared" si="517"/>
        <v/>
      </c>
      <c r="AB149" s="232"/>
      <c r="AC149" s="233"/>
      <c r="AD149" s="231"/>
      <c r="AE149" s="231"/>
      <c r="AF149" s="51"/>
      <c r="AG149" s="231"/>
      <c r="AH149" s="231"/>
      <c r="AI149" s="231"/>
      <c r="AJ149" s="231"/>
      <c r="AK149" s="231"/>
      <c r="AL149" s="231"/>
      <c r="AM149" s="231"/>
      <c r="AN149" s="231"/>
      <c r="AO149" s="231"/>
      <c r="AP149" s="231"/>
      <c r="AQ149" s="231"/>
      <c r="AR149" s="231"/>
    </row>
    <row r="150" spans="1:51" s="229" customFormat="1" ht="15" customHeight="1">
      <c r="A150" s="241"/>
      <c r="B150" s="113"/>
      <c r="C150" s="116"/>
      <c r="D150" s="116"/>
      <c r="E150" s="116"/>
      <c r="F150" s="116"/>
      <c r="G150" s="116"/>
      <c r="H150" s="116"/>
      <c r="I150" s="116"/>
      <c r="J150" s="92"/>
      <c r="K150" s="92"/>
      <c r="L150" s="145" t="str">
        <f t="shared" si="512"/>
        <v/>
      </c>
      <c r="M150" s="94"/>
      <c r="N150" s="94"/>
      <c r="O150" s="145" t="str">
        <f t="shared" si="513"/>
        <v/>
      </c>
      <c r="P150" s="94"/>
      <c r="Q150" s="94"/>
      <c r="R150" s="145" t="str">
        <f t="shared" si="514"/>
        <v/>
      </c>
      <c r="S150" s="92"/>
      <c r="T150" s="92"/>
      <c r="U150" s="145" t="str">
        <f t="shared" si="515"/>
        <v/>
      </c>
      <c r="V150" s="92"/>
      <c r="W150" s="92"/>
      <c r="X150" s="145" t="str">
        <f t="shared" si="516"/>
        <v/>
      </c>
      <c r="Y150" s="94"/>
      <c r="Z150" s="94"/>
      <c r="AA150" s="145" t="str">
        <f t="shared" si="517"/>
        <v/>
      </c>
      <c r="AB150" s="232"/>
      <c r="AC150" s="233"/>
      <c r="AD150" s="231"/>
      <c r="AE150" s="231"/>
      <c r="AF150" s="51"/>
      <c r="AG150" s="231"/>
      <c r="AH150" s="231"/>
      <c r="AI150" s="231"/>
      <c r="AJ150" s="231"/>
      <c r="AK150" s="231"/>
      <c r="AL150" s="231"/>
      <c r="AM150" s="231"/>
      <c r="AN150" s="231"/>
      <c r="AO150" s="231"/>
      <c r="AP150" s="231"/>
      <c r="AQ150" s="231"/>
      <c r="AR150" s="231"/>
    </row>
    <row r="151" spans="1:51" s="229" customFormat="1" ht="15" customHeight="1" thickBot="1">
      <c r="A151" s="242"/>
      <c r="B151" s="115"/>
      <c r="C151" s="117"/>
      <c r="D151" s="117"/>
      <c r="E151" s="117"/>
      <c r="F151" s="117"/>
      <c r="G151" s="117"/>
      <c r="H151" s="117"/>
      <c r="I151" s="117"/>
      <c r="J151" s="109"/>
      <c r="K151" s="109"/>
      <c r="L151" s="145" t="str">
        <f t="shared" si="512"/>
        <v/>
      </c>
      <c r="M151" s="234"/>
      <c r="N151" s="234"/>
      <c r="O151" s="145" t="str">
        <f t="shared" si="513"/>
        <v/>
      </c>
      <c r="P151" s="234"/>
      <c r="Q151" s="234"/>
      <c r="R151" s="145" t="str">
        <f t="shared" si="514"/>
        <v/>
      </c>
      <c r="S151" s="109"/>
      <c r="T151" s="109"/>
      <c r="U151" s="145" t="str">
        <f t="shared" si="515"/>
        <v/>
      </c>
      <c r="V151" s="109"/>
      <c r="W151" s="109"/>
      <c r="X151" s="145" t="str">
        <f t="shared" si="516"/>
        <v/>
      </c>
      <c r="Y151" s="234"/>
      <c r="Z151" s="234"/>
      <c r="AA151" s="145" t="str">
        <f t="shared" si="517"/>
        <v/>
      </c>
      <c r="AB151" s="234"/>
      <c r="AC151" s="235"/>
      <c r="AD151" s="231"/>
      <c r="AE151" s="231"/>
      <c r="AF151" s="51"/>
      <c r="AG151" s="231"/>
      <c r="AH151" s="231"/>
      <c r="AI151" s="231"/>
      <c r="AJ151" s="231"/>
      <c r="AK151" s="231"/>
      <c r="AL151" s="231"/>
      <c r="AM151" s="231"/>
      <c r="AN151" s="231"/>
      <c r="AO151" s="231"/>
      <c r="AP151" s="231"/>
      <c r="AQ151" s="231"/>
      <c r="AR151" s="231"/>
    </row>
    <row r="152" spans="1:51" s="229" customFormat="1" ht="15" customHeight="1">
      <c r="A152" s="111" t="s">
        <v>29</v>
      </c>
      <c r="B152" s="114" t="s">
        <v>276</v>
      </c>
      <c r="C152" s="112">
        <f>K153/3+Z153/2</f>
        <v>4.333333333333333</v>
      </c>
      <c r="D152" s="112">
        <f>(E152+H152)/2</f>
        <v>2.2338095238095237</v>
      </c>
      <c r="E152" s="112">
        <f>(Q154+Q155+T153+T155+W153+Z156+Z155)/10</f>
        <v>1.92</v>
      </c>
      <c r="F152" s="112">
        <v>0</v>
      </c>
      <c r="G152" s="112">
        <v>0</v>
      </c>
      <c r="H152" s="112">
        <f>H154</f>
        <v>2.5476190476190479</v>
      </c>
      <c r="I152" s="112">
        <f>C152*70+D152*45+E152*25+H152*75+G152*60+F152*150</f>
        <v>642.92619047619041</v>
      </c>
      <c r="J152" s="127" t="s">
        <v>213</v>
      </c>
      <c r="K152" s="236"/>
      <c r="L152" s="66"/>
      <c r="M152" s="237" t="s">
        <v>471</v>
      </c>
      <c r="N152" s="238"/>
      <c r="O152" s="66"/>
      <c r="P152" s="237" t="s">
        <v>439</v>
      </c>
      <c r="Q152" s="238"/>
      <c r="R152" s="66"/>
      <c r="S152" s="237" t="s">
        <v>134</v>
      </c>
      <c r="T152" s="238"/>
      <c r="U152" s="66"/>
      <c r="V152" s="127" t="s">
        <v>55</v>
      </c>
      <c r="W152" s="236"/>
      <c r="X152" s="66"/>
      <c r="Y152" s="127" t="s">
        <v>214</v>
      </c>
      <c r="Z152" s="236"/>
      <c r="AA152" s="66"/>
      <c r="AB152" s="237" t="s">
        <v>283</v>
      </c>
      <c r="AC152" s="239"/>
      <c r="AD152" s="51" t="str">
        <f t="shared" ref="AD152" si="546">A152</f>
        <v>E3</v>
      </c>
      <c r="AE152" s="51" t="str">
        <f t="shared" ref="AE152" si="547">J152</f>
        <v>刈包特餐</v>
      </c>
      <c r="AF152" s="51" t="str">
        <f t="shared" ref="AF152" si="548">J153&amp;" "&amp;J154&amp;" "&amp;J155&amp;" "&amp;J156&amp;" "&amp;J157&amp;" "&amp;J158</f>
        <v xml:space="preserve">刈包     </v>
      </c>
      <c r="AG152" s="51" t="str">
        <f t="shared" ref="AG152" si="549">M152</f>
        <v>香滷素排</v>
      </c>
      <c r="AH152" s="51" t="str">
        <f t="shared" ref="AH152" si="550">M153&amp;" "&amp;M154&amp;" "&amp;M155&amp;" "&amp;M156&amp;" "&amp;M157&amp;" "&amp;M158</f>
        <v xml:space="preserve">素排 薑    </v>
      </c>
      <c r="AI152" s="51" t="str">
        <f t="shared" ref="AI152" si="551">P152</f>
        <v>刈包配料</v>
      </c>
      <c r="AJ152" s="51" t="str">
        <f t="shared" ref="AJ152" si="552">P153&amp;" "&amp;P154&amp;" "&amp;P155&amp;" "&amp;P156&amp;" "&amp;P157&amp;" "&amp;P158</f>
        <v xml:space="preserve">麵腸 酸菜 胡蘿蔔   </v>
      </c>
      <c r="AK152" s="51" t="str">
        <f t="shared" ref="AK152" si="553">S152</f>
        <v>塔香鮑菇</v>
      </c>
      <c r="AL152" s="51" t="str">
        <f t="shared" ref="AL152" si="554">S153&amp;" "&amp;S154&amp;" "&amp;S155&amp;" "&amp;S156&amp;" "&amp;S157&amp;" "&amp;S158</f>
        <v xml:space="preserve">杏鮑菇 薑 九層塔   </v>
      </c>
      <c r="AM152" s="51" t="str">
        <f t="shared" ref="AM152" si="555">V152</f>
        <v>時蔬</v>
      </c>
      <c r="AN152" s="51" t="str">
        <f t="shared" ref="AN152" si="556">V153&amp;" "&amp;V154&amp;" "&amp;V155&amp;" "&amp;V156&amp;" "&amp;V157&amp;" "&amp;V158</f>
        <v xml:space="preserve">蔬菜 薑    </v>
      </c>
      <c r="AO152" s="51" t="str">
        <f t="shared" ref="AO152" si="557">Y152</f>
        <v>麵線糊</v>
      </c>
      <c r="AP152" s="51" t="str">
        <f t="shared" ref="AP152" si="558">Y153&amp;" "&amp;Y154&amp;" "&amp;Y155&amp;" "&amp;Y156&amp;" "&amp;Y157&amp;" "&amp;Y158</f>
        <v xml:space="preserve">麵線 素肉 脆筍 胡蘿蔔 乾木耳 </v>
      </c>
      <c r="AQ152" s="51" t="str">
        <f>AB152</f>
        <v>點心</v>
      </c>
      <c r="AR152" s="51">
        <f>AC152</f>
        <v>0</v>
      </c>
      <c r="AS152" s="228">
        <f t="shared" ref="AS152" si="559">C152</f>
        <v>4.333333333333333</v>
      </c>
      <c r="AT152" s="228">
        <f t="shared" ref="AT152" si="560">H152</f>
        <v>2.5476190476190479</v>
      </c>
      <c r="AU152" s="228">
        <f t="shared" ref="AU152" si="561">E152</f>
        <v>1.92</v>
      </c>
      <c r="AV152" s="228">
        <f t="shared" ref="AV152" si="562">D152</f>
        <v>2.2338095238095237</v>
      </c>
      <c r="AW152" s="228">
        <f t="shared" ref="AW152" si="563">F152</f>
        <v>0</v>
      </c>
      <c r="AX152" s="228">
        <f t="shared" ref="AX152" si="564">G152</f>
        <v>0</v>
      </c>
      <c r="AY152" s="228">
        <f t="shared" ref="AY152" si="565">I152</f>
        <v>642.92619047619041</v>
      </c>
    </row>
    <row r="153" spans="1:51" s="229" customFormat="1" ht="15" customHeight="1">
      <c r="A153" s="241"/>
      <c r="B153" s="113"/>
      <c r="C153" s="116"/>
      <c r="D153" s="116"/>
      <c r="E153" s="116"/>
      <c r="F153" s="116"/>
      <c r="G153" s="116"/>
      <c r="H153" s="116"/>
      <c r="I153" s="116"/>
      <c r="J153" s="92" t="s">
        <v>215</v>
      </c>
      <c r="K153" s="92">
        <v>4</v>
      </c>
      <c r="L153" s="145" t="str">
        <f t="shared" ref="L153:L154" si="566">IF(K153,"公斤","")</f>
        <v>公斤</v>
      </c>
      <c r="M153" s="94" t="s">
        <v>472</v>
      </c>
      <c r="N153" s="94">
        <v>6</v>
      </c>
      <c r="O153" s="145" t="str">
        <f t="shared" ref="O153" si="567">IF(N153,"公斤","")</f>
        <v>公斤</v>
      </c>
      <c r="P153" s="94" t="s">
        <v>456</v>
      </c>
      <c r="Q153" s="94">
        <v>2.5</v>
      </c>
      <c r="R153" s="145" t="str">
        <f t="shared" ref="R153" si="568">IF(Q153,"公斤","")</f>
        <v>公斤</v>
      </c>
      <c r="S153" s="94" t="s">
        <v>137</v>
      </c>
      <c r="T153" s="94">
        <v>6</v>
      </c>
      <c r="U153" s="145" t="str">
        <f t="shared" ref="U153" si="569">IF(T153,"公斤","")</f>
        <v>公斤</v>
      </c>
      <c r="V153" s="92" t="s">
        <v>48</v>
      </c>
      <c r="W153" s="92">
        <v>7</v>
      </c>
      <c r="X153" s="145" t="str">
        <f t="shared" ref="X153" si="570">IF(W153,"公斤","")</f>
        <v>公斤</v>
      </c>
      <c r="Y153" s="92" t="s">
        <v>216</v>
      </c>
      <c r="Z153" s="92">
        <v>6</v>
      </c>
      <c r="AA153" s="145" t="str">
        <f t="shared" ref="AA153" si="571">IF(Z153,"公斤","")</f>
        <v>公斤</v>
      </c>
      <c r="AB153" s="94" t="s">
        <v>283</v>
      </c>
      <c r="AC153" s="233"/>
      <c r="AD153" s="231"/>
      <c r="AE153" s="231"/>
      <c r="AF153" s="51"/>
      <c r="AG153" s="231"/>
      <c r="AH153" s="231"/>
      <c r="AI153" s="231"/>
      <c r="AJ153" s="231"/>
      <c r="AK153" s="231"/>
      <c r="AL153" s="231"/>
      <c r="AM153" s="231"/>
      <c r="AN153" s="231"/>
      <c r="AO153" s="231"/>
      <c r="AP153" s="231"/>
      <c r="AQ153" s="231"/>
      <c r="AR153" s="231"/>
    </row>
    <row r="154" spans="1:51" s="229" customFormat="1" ht="15" customHeight="1">
      <c r="A154" s="241"/>
      <c r="B154" s="217" t="s">
        <v>557</v>
      </c>
      <c r="C154" s="217">
        <f>C152</f>
        <v>4.333333333333333</v>
      </c>
      <c r="D154" s="217">
        <f>(E154+H154)/2</f>
        <v>1.9238095238095239</v>
      </c>
      <c r="E154" s="217">
        <f>E152-(T153+T155)/10</f>
        <v>1.2999999999999998</v>
      </c>
      <c r="F154" s="217">
        <f t="shared" ref="F154:G154" si="572">F152</f>
        <v>0</v>
      </c>
      <c r="G154" s="217">
        <f t="shared" si="572"/>
        <v>0</v>
      </c>
      <c r="H154" s="217">
        <f>N153/4+Q153/3.5+Z154/1.2</f>
        <v>2.5476190476190479</v>
      </c>
      <c r="I154" s="217">
        <f>C154*70+D154*45+E154*25+H154*75+G154*60+F154*150</f>
        <v>613.47619047619048</v>
      </c>
      <c r="J154" s="92"/>
      <c r="K154" s="92"/>
      <c r="L154" s="145" t="str">
        <f t="shared" si="566"/>
        <v/>
      </c>
      <c r="M154" s="196" t="s">
        <v>555</v>
      </c>
      <c r="N154" s="94">
        <v>0.05</v>
      </c>
      <c r="O154" s="145" t="str">
        <f t="shared" si="513"/>
        <v>公斤</v>
      </c>
      <c r="P154" s="94" t="s">
        <v>473</v>
      </c>
      <c r="Q154" s="94">
        <v>3</v>
      </c>
      <c r="R154" s="145" t="str">
        <f t="shared" si="514"/>
        <v>公斤</v>
      </c>
      <c r="S154" s="94" t="s">
        <v>117</v>
      </c>
      <c r="T154" s="94">
        <v>0.05</v>
      </c>
      <c r="U154" s="145" t="str">
        <f t="shared" si="515"/>
        <v>公斤</v>
      </c>
      <c r="V154" s="92" t="s">
        <v>64</v>
      </c>
      <c r="W154" s="92">
        <v>0.05</v>
      </c>
      <c r="X154" s="145" t="str">
        <f t="shared" si="516"/>
        <v>公斤</v>
      </c>
      <c r="Y154" s="92" t="s">
        <v>217</v>
      </c>
      <c r="Z154" s="92">
        <v>0.4</v>
      </c>
      <c r="AA154" s="145" t="str">
        <f t="shared" si="517"/>
        <v>公斤</v>
      </c>
      <c r="AB154" s="94"/>
      <c r="AC154" s="233"/>
      <c r="AD154" s="231"/>
      <c r="AE154" s="231"/>
      <c r="AF154" s="51"/>
      <c r="AG154" s="231"/>
      <c r="AH154" s="231"/>
      <c r="AI154" s="231"/>
      <c r="AJ154" s="231"/>
      <c r="AK154" s="231"/>
      <c r="AL154" s="231"/>
      <c r="AM154" s="231"/>
      <c r="AN154" s="231"/>
      <c r="AO154" s="231"/>
      <c r="AP154" s="231"/>
      <c r="AQ154" s="231"/>
      <c r="AR154" s="231"/>
    </row>
    <row r="155" spans="1:51" s="229" customFormat="1" ht="15" customHeight="1">
      <c r="A155" s="241"/>
      <c r="B155" s="113"/>
      <c r="C155" s="116"/>
      <c r="D155" s="116"/>
      <c r="E155" s="116"/>
      <c r="F155" s="116"/>
      <c r="G155" s="116"/>
      <c r="H155" s="116"/>
      <c r="I155" s="116"/>
      <c r="J155" s="92"/>
      <c r="K155" s="92"/>
      <c r="L155" s="145" t="str">
        <f t="shared" si="512"/>
        <v/>
      </c>
      <c r="M155" s="94"/>
      <c r="N155" s="94"/>
      <c r="O155" s="145" t="str">
        <f t="shared" si="513"/>
        <v/>
      </c>
      <c r="P155" s="94" t="s">
        <v>8</v>
      </c>
      <c r="Q155" s="94">
        <v>0.5</v>
      </c>
      <c r="R155" s="145" t="str">
        <f t="shared" si="514"/>
        <v>公斤</v>
      </c>
      <c r="S155" s="94" t="s">
        <v>140</v>
      </c>
      <c r="T155" s="94">
        <v>0.2</v>
      </c>
      <c r="U155" s="145" t="str">
        <f t="shared" si="515"/>
        <v>公斤</v>
      </c>
      <c r="V155" s="92"/>
      <c r="W155" s="92"/>
      <c r="X155" s="145" t="str">
        <f t="shared" si="516"/>
        <v/>
      </c>
      <c r="Y155" s="92" t="s">
        <v>149</v>
      </c>
      <c r="Z155" s="92">
        <v>2</v>
      </c>
      <c r="AA155" s="145" t="str">
        <f t="shared" si="517"/>
        <v>公斤</v>
      </c>
      <c r="AB155" s="232"/>
      <c r="AC155" s="233"/>
      <c r="AD155" s="231"/>
      <c r="AE155" s="231"/>
      <c r="AF155" s="51"/>
      <c r="AG155" s="231"/>
      <c r="AH155" s="231"/>
      <c r="AI155" s="231"/>
      <c r="AJ155" s="231"/>
      <c r="AK155" s="231"/>
      <c r="AL155" s="231"/>
      <c r="AM155" s="231"/>
      <c r="AN155" s="231"/>
      <c r="AO155" s="231"/>
      <c r="AP155" s="231"/>
      <c r="AQ155" s="231"/>
      <c r="AR155" s="231"/>
    </row>
    <row r="156" spans="1:51" s="229" customFormat="1" ht="15" customHeight="1">
      <c r="A156" s="241"/>
      <c r="B156" s="113"/>
      <c r="C156" s="116"/>
      <c r="D156" s="116"/>
      <c r="E156" s="116"/>
      <c r="F156" s="116"/>
      <c r="G156" s="116"/>
      <c r="H156" s="116"/>
      <c r="I156" s="116"/>
      <c r="J156" s="92"/>
      <c r="K156" s="92"/>
      <c r="L156" s="145" t="str">
        <f t="shared" si="512"/>
        <v/>
      </c>
      <c r="M156" s="94"/>
      <c r="N156" s="94"/>
      <c r="O156" s="145" t="str">
        <f t="shared" si="513"/>
        <v/>
      </c>
      <c r="P156" s="232"/>
      <c r="Q156" s="232"/>
      <c r="R156" s="145" t="str">
        <f t="shared" si="514"/>
        <v/>
      </c>
      <c r="S156" s="94"/>
      <c r="T156" s="94"/>
      <c r="U156" s="145" t="str">
        <f t="shared" si="515"/>
        <v/>
      </c>
      <c r="V156" s="92"/>
      <c r="W156" s="92"/>
      <c r="X156" s="145" t="str">
        <f t="shared" si="516"/>
        <v/>
      </c>
      <c r="Y156" s="92" t="s">
        <v>58</v>
      </c>
      <c r="Z156" s="92">
        <v>0.5</v>
      </c>
      <c r="AA156" s="145" t="str">
        <f t="shared" si="517"/>
        <v>公斤</v>
      </c>
      <c r="AB156" s="232"/>
      <c r="AC156" s="233"/>
      <c r="AD156" s="231"/>
      <c r="AE156" s="231"/>
      <c r="AF156" s="5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31"/>
      <c r="AQ156" s="231"/>
      <c r="AR156" s="231"/>
    </row>
    <row r="157" spans="1:51" s="229" customFormat="1" ht="15" customHeight="1">
      <c r="A157" s="241"/>
      <c r="B157" s="113"/>
      <c r="C157" s="116"/>
      <c r="D157" s="116"/>
      <c r="E157" s="116"/>
      <c r="F157" s="116"/>
      <c r="G157" s="116"/>
      <c r="H157" s="116"/>
      <c r="I157" s="116"/>
      <c r="J157" s="92"/>
      <c r="K157" s="92"/>
      <c r="L157" s="145" t="str">
        <f t="shared" si="512"/>
        <v/>
      </c>
      <c r="M157" s="94"/>
      <c r="N157" s="94"/>
      <c r="O157" s="145" t="str">
        <f t="shared" si="513"/>
        <v/>
      </c>
      <c r="P157" s="94"/>
      <c r="Q157" s="94"/>
      <c r="R157" s="145" t="str">
        <f t="shared" si="514"/>
        <v/>
      </c>
      <c r="S157" s="232"/>
      <c r="T157" s="232"/>
      <c r="U157" s="145" t="str">
        <f t="shared" si="515"/>
        <v/>
      </c>
      <c r="V157" s="92"/>
      <c r="W157" s="92"/>
      <c r="X157" s="145" t="str">
        <f t="shared" si="516"/>
        <v/>
      </c>
      <c r="Y157" s="92" t="s">
        <v>132</v>
      </c>
      <c r="Z157" s="92">
        <v>0.02</v>
      </c>
      <c r="AA157" s="145" t="str">
        <f t="shared" si="517"/>
        <v>公斤</v>
      </c>
      <c r="AB157" s="232"/>
      <c r="AC157" s="233"/>
      <c r="AD157" s="231"/>
      <c r="AE157" s="231"/>
      <c r="AF157" s="51"/>
      <c r="AG157" s="231"/>
      <c r="AH157" s="231"/>
      <c r="AI157" s="231"/>
      <c r="AJ157" s="231"/>
      <c r="AK157" s="231"/>
      <c r="AL157" s="231"/>
      <c r="AM157" s="231"/>
      <c r="AN157" s="231"/>
      <c r="AO157" s="231"/>
      <c r="AP157" s="231"/>
      <c r="AQ157" s="231"/>
      <c r="AR157" s="231"/>
    </row>
    <row r="158" spans="1:51" s="229" customFormat="1" ht="15" customHeight="1" thickBot="1">
      <c r="A158" s="242"/>
      <c r="B158" s="115"/>
      <c r="C158" s="117"/>
      <c r="D158" s="117"/>
      <c r="E158" s="117"/>
      <c r="F158" s="117"/>
      <c r="G158" s="117"/>
      <c r="H158" s="117"/>
      <c r="I158" s="117"/>
      <c r="J158" s="109"/>
      <c r="K158" s="109"/>
      <c r="L158" s="145" t="str">
        <f t="shared" si="512"/>
        <v/>
      </c>
      <c r="M158" s="234"/>
      <c r="N158" s="234"/>
      <c r="O158" s="145" t="str">
        <f t="shared" si="513"/>
        <v/>
      </c>
      <c r="P158" s="234"/>
      <c r="Q158" s="234"/>
      <c r="R158" s="145" t="str">
        <f t="shared" si="514"/>
        <v/>
      </c>
      <c r="S158" s="234"/>
      <c r="T158" s="234"/>
      <c r="U158" s="145" t="str">
        <f t="shared" si="515"/>
        <v/>
      </c>
      <c r="V158" s="109"/>
      <c r="W158" s="109"/>
      <c r="X158" s="145" t="str">
        <f t="shared" si="516"/>
        <v/>
      </c>
      <c r="Y158" s="109"/>
      <c r="Z158" s="109"/>
      <c r="AA158" s="145" t="str">
        <f t="shared" si="517"/>
        <v/>
      </c>
      <c r="AB158" s="234"/>
      <c r="AC158" s="235"/>
      <c r="AD158" s="231"/>
      <c r="AE158" s="231"/>
      <c r="AF158" s="51"/>
      <c r="AG158" s="231"/>
      <c r="AH158" s="231"/>
      <c r="AI158" s="231"/>
      <c r="AJ158" s="231"/>
      <c r="AK158" s="231"/>
      <c r="AL158" s="231"/>
      <c r="AM158" s="231"/>
      <c r="AN158" s="231"/>
      <c r="AO158" s="231"/>
      <c r="AP158" s="231"/>
      <c r="AQ158" s="231"/>
      <c r="AR158" s="231"/>
    </row>
    <row r="159" spans="1:51" s="229" customFormat="1" ht="16.2">
      <c r="A159" s="111" t="s">
        <v>33</v>
      </c>
      <c r="B159" s="114" t="s">
        <v>276</v>
      </c>
      <c r="C159" s="112">
        <f>K160/2+K161/2+Z160/1.5</f>
        <v>6.333333333333333</v>
      </c>
      <c r="D159" s="112">
        <f>(E159+H159)/2</f>
        <v>2.3116883116883118</v>
      </c>
      <c r="E159" s="112">
        <f>(N161+N162+Q161+T160+T161+T162+T163+W160)/10</f>
        <v>2.15</v>
      </c>
      <c r="F159" s="112">
        <v>0</v>
      </c>
      <c r="G159" s="112">
        <v>0</v>
      </c>
      <c r="H159" s="112">
        <f>H161+T164/3</f>
        <v>2.4733766233766232</v>
      </c>
      <c r="I159" s="112">
        <f>C159*70+D159*45+E159*25+H159*75+G159*60+F159*150</f>
        <v>786.61255411255411</v>
      </c>
      <c r="J159" s="127" t="s">
        <v>71</v>
      </c>
      <c r="K159" s="236"/>
      <c r="L159" s="66"/>
      <c r="M159" s="237" t="s">
        <v>474</v>
      </c>
      <c r="N159" s="238"/>
      <c r="O159" s="66"/>
      <c r="P159" s="237" t="s">
        <v>218</v>
      </c>
      <c r="Q159" s="238"/>
      <c r="R159" s="66"/>
      <c r="S159" s="127" t="s">
        <v>219</v>
      </c>
      <c r="T159" s="236"/>
      <c r="U159" s="66"/>
      <c r="V159" s="127" t="s">
        <v>55</v>
      </c>
      <c r="W159" s="236"/>
      <c r="X159" s="66"/>
      <c r="Y159" s="237" t="s">
        <v>447</v>
      </c>
      <c r="Z159" s="238"/>
      <c r="AA159" s="66"/>
      <c r="AB159" s="237" t="s">
        <v>283</v>
      </c>
      <c r="AC159" s="227" t="s">
        <v>56</v>
      </c>
      <c r="AD159" s="51" t="str">
        <f t="shared" ref="AD159" si="573">A159</f>
        <v>E4</v>
      </c>
      <c r="AE159" s="51" t="str">
        <f t="shared" ref="AE159" si="574">J159</f>
        <v>糙米飯</v>
      </c>
      <c r="AF159" s="51" t="str">
        <f t="shared" ref="AF159" si="575">J160&amp;" "&amp;J161&amp;" "&amp;J162&amp;" "&amp;J163&amp;" "&amp;J164&amp;" "&amp;J165</f>
        <v xml:space="preserve">米 糙米    </v>
      </c>
      <c r="AG159" s="51" t="str">
        <f t="shared" ref="AG159" si="576">M159</f>
        <v>照燒麵輪</v>
      </c>
      <c r="AH159" s="51" t="str">
        <f t="shared" ref="AH159" si="577">M160&amp;" "&amp;M161&amp;" "&amp;M162&amp;" "&amp;M163&amp;" "&amp;M164&amp;" "&amp;M165</f>
        <v xml:space="preserve">麵輪 白蘿蔔 胡蘿蔔 醬油 紅砂糖 </v>
      </c>
      <c r="AI159" s="51" t="str">
        <f t="shared" ref="AI159" si="578">P159</f>
        <v>絲瓜蛋豆腐</v>
      </c>
      <c r="AJ159" s="51" t="str">
        <f t="shared" ref="AJ159" si="579">P160&amp;" "&amp;P161&amp;" "&amp;P162&amp;" "&amp;P163&amp;" "&amp;P164&amp;" "&amp;P165</f>
        <v xml:space="preserve">豆腐 絲瓜 雞蛋 薑  </v>
      </c>
      <c r="AK159" s="51" t="str">
        <f t="shared" ref="AK159" si="580">S159</f>
        <v>奶油白菜</v>
      </c>
      <c r="AL159" s="51" t="str">
        <f t="shared" ref="AL159" si="581">S160&amp;" "&amp;S161&amp;" "&amp;S162&amp;" "&amp;S163&amp;" "&amp;S164&amp;" "&amp;S165</f>
        <v>結球白菜 鴻喜菇 甜椒(紅皮) 甜椒(黃皮) 豆包 奶油(固態)</v>
      </c>
      <c r="AM159" s="51" t="str">
        <f t="shared" ref="AM159" si="582">V159</f>
        <v>時蔬</v>
      </c>
      <c r="AN159" s="51" t="str">
        <f t="shared" ref="AN159" si="583">V160&amp;" "&amp;V161&amp;" "&amp;V162&amp;" "&amp;V163&amp;" "&amp;V164&amp;" "&amp;V165</f>
        <v xml:space="preserve">蔬菜 薑    </v>
      </c>
      <c r="AO159" s="51" t="str">
        <f t="shared" ref="AO159" si="584">Y159</f>
        <v>椰漿西米露</v>
      </c>
      <c r="AP159" s="51" t="str">
        <f t="shared" ref="AP159" si="585">Y160&amp;" "&amp;Y161&amp;" "&amp;Y162&amp;" "&amp;Y163&amp;" "&amp;Y164&amp;" "&amp;Y165</f>
        <v xml:space="preserve">西谷米 紅砂糖 椰漿   </v>
      </c>
      <c r="AQ159" s="51" t="str">
        <f>AB159</f>
        <v>點心</v>
      </c>
      <c r="AR159" s="51" t="str">
        <f>AC159</f>
        <v>有機豆奶</v>
      </c>
      <c r="AS159" s="228">
        <f t="shared" ref="AS159" si="586">C159</f>
        <v>6.333333333333333</v>
      </c>
      <c r="AT159" s="228">
        <f t="shared" ref="AT159" si="587">H159</f>
        <v>2.4733766233766232</v>
      </c>
      <c r="AU159" s="228">
        <f t="shared" ref="AU159" si="588">E159</f>
        <v>2.15</v>
      </c>
      <c r="AV159" s="228">
        <f t="shared" ref="AV159" si="589">D159</f>
        <v>2.3116883116883118</v>
      </c>
      <c r="AW159" s="228">
        <f t="shared" ref="AW159" si="590">F159</f>
        <v>0</v>
      </c>
      <c r="AX159" s="228">
        <f t="shared" ref="AX159" si="591">G159</f>
        <v>0</v>
      </c>
      <c r="AY159" s="228">
        <f t="shared" ref="AY159" si="592">I159</f>
        <v>786.61255411255411</v>
      </c>
    </row>
    <row r="160" spans="1:51" s="229" customFormat="1" ht="16.2">
      <c r="A160" s="241"/>
      <c r="B160" s="113"/>
      <c r="C160" s="116"/>
      <c r="D160" s="116"/>
      <c r="E160" s="116"/>
      <c r="F160" s="116"/>
      <c r="G160" s="116"/>
      <c r="H160" s="116"/>
      <c r="I160" s="116"/>
      <c r="J160" s="92" t="s">
        <v>57</v>
      </c>
      <c r="K160" s="92">
        <v>7</v>
      </c>
      <c r="L160" s="145" t="str">
        <f t="shared" ref="L160:L161" si="593">IF(K160,"公斤","")</f>
        <v>公斤</v>
      </c>
      <c r="M160" s="94" t="s">
        <v>475</v>
      </c>
      <c r="N160" s="94">
        <v>6</v>
      </c>
      <c r="O160" s="145" t="str">
        <f t="shared" ref="O160" si="594">IF(N160,"公斤","")</f>
        <v>公斤</v>
      </c>
      <c r="P160" s="94" t="s">
        <v>220</v>
      </c>
      <c r="Q160" s="94">
        <v>2</v>
      </c>
      <c r="R160" s="145" t="str">
        <f t="shared" ref="R160" si="595">IF(Q160,"公斤","")</f>
        <v>公斤</v>
      </c>
      <c r="S160" s="92" t="s">
        <v>105</v>
      </c>
      <c r="T160" s="92">
        <v>6</v>
      </c>
      <c r="U160" s="145" t="str">
        <f t="shared" ref="U160" si="596">IF(T160,"公斤","")</f>
        <v>公斤</v>
      </c>
      <c r="V160" s="92" t="s">
        <v>48</v>
      </c>
      <c r="W160" s="92">
        <v>7</v>
      </c>
      <c r="X160" s="145" t="str">
        <f t="shared" ref="X160" si="597">IF(W160,"公斤","")</f>
        <v>公斤</v>
      </c>
      <c r="Y160" s="94" t="s">
        <v>448</v>
      </c>
      <c r="Z160" s="94">
        <v>2</v>
      </c>
      <c r="AA160" s="145" t="str">
        <f t="shared" ref="AA160" si="598">IF(Z160,"公斤","")</f>
        <v>公斤</v>
      </c>
      <c r="AB160" s="94" t="s">
        <v>283</v>
      </c>
      <c r="AC160" s="230" t="s">
        <v>56</v>
      </c>
      <c r="AD160" s="231"/>
      <c r="AE160" s="231"/>
      <c r="AF160" s="51"/>
      <c r="AG160" s="231"/>
      <c r="AH160" s="231"/>
      <c r="AI160" s="231"/>
      <c r="AJ160" s="231"/>
      <c r="AK160" s="231"/>
      <c r="AL160" s="231"/>
      <c r="AM160" s="231"/>
      <c r="AN160" s="231"/>
      <c r="AO160" s="231"/>
      <c r="AP160" s="231"/>
      <c r="AQ160" s="231"/>
      <c r="AR160" s="231"/>
    </row>
    <row r="161" spans="1:44" s="229" customFormat="1" ht="16.2">
      <c r="A161" s="241"/>
      <c r="B161" s="217" t="s">
        <v>557</v>
      </c>
      <c r="C161" s="217">
        <f>C159</f>
        <v>6.333333333333333</v>
      </c>
      <c r="D161" s="217">
        <f>(E161+H161)/2</f>
        <v>1.7116883116883117</v>
      </c>
      <c r="E161" s="217">
        <f>E159-(T160+T161+T162+T163)/10</f>
        <v>1.3499999999999999</v>
      </c>
      <c r="F161" s="217">
        <f t="shared" ref="F161:G161" si="599">F159</f>
        <v>0</v>
      </c>
      <c r="G161" s="217">
        <f t="shared" si="599"/>
        <v>0</v>
      </c>
      <c r="H161" s="217">
        <f>N160/3.5+Q160/8+Q162/5.5</f>
        <v>2.0733766233766233</v>
      </c>
      <c r="I161" s="217">
        <f>C161*70+D161*45+E161*25+H161*75+G161*60+F161*150</f>
        <v>709.61255411255411</v>
      </c>
      <c r="J161" s="92" t="s">
        <v>61</v>
      </c>
      <c r="K161" s="92">
        <v>3</v>
      </c>
      <c r="L161" s="145" t="str">
        <f t="shared" si="593"/>
        <v>公斤</v>
      </c>
      <c r="M161" s="94" t="s">
        <v>290</v>
      </c>
      <c r="N161" s="94">
        <v>3</v>
      </c>
      <c r="O161" s="145" t="str">
        <f t="shared" si="513"/>
        <v>公斤</v>
      </c>
      <c r="P161" s="94" t="s">
        <v>221</v>
      </c>
      <c r="Q161" s="94">
        <v>3</v>
      </c>
      <c r="R161" s="145" t="str">
        <f t="shared" si="514"/>
        <v>公斤</v>
      </c>
      <c r="S161" s="92" t="s">
        <v>76</v>
      </c>
      <c r="T161" s="92">
        <v>1</v>
      </c>
      <c r="U161" s="145" t="str">
        <f t="shared" si="515"/>
        <v>公斤</v>
      </c>
      <c r="V161" s="92" t="s">
        <v>64</v>
      </c>
      <c r="W161" s="92">
        <v>0.05</v>
      </c>
      <c r="X161" s="145" t="str">
        <f t="shared" si="516"/>
        <v>公斤</v>
      </c>
      <c r="Y161" s="94" t="s">
        <v>77</v>
      </c>
      <c r="Z161" s="94">
        <v>1</v>
      </c>
      <c r="AA161" s="145" t="str">
        <f t="shared" si="517"/>
        <v>公斤</v>
      </c>
      <c r="AB161" s="94"/>
      <c r="AC161" s="233"/>
      <c r="AD161" s="231"/>
      <c r="AE161" s="231"/>
      <c r="AF161" s="51"/>
      <c r="AG161" s="231"/>
      <c r="AH161" s="231"/>
      <c r="AI161" s="231"/>
      <c r="AJ161" s="231"/>
      <c r="AK161" s="231"/>
      <c r="AL161" s="231"/>
      <c r="AM161" s="231"/>
      <c r="AN161" s="231"/>
      <c r="AO161" s="231"/>
      <c r="AP161" s="231"/>
      <c r="AQ161" s="231"/>
      <c r="AR161" s="231"/>
    </row>
    <row r="162" spans="1:44" s="229" customFormat="1" ht="16.2">
      <c r="A162" s="241"/>
      <c r="B162" s="113"/>
      <c r="C162" s="116"/>
      <c r="D162" s="116"/>
      <c r="E162" s="116"/>
      <c r="F162" s="116"/>
      <c r="G162" s="116"/>
      <c r="H162" s="116"/>
      <c r="I162" s="116"/>
      <c r="J162" s="92"/>
      <c r="K162" s="92"/>
      <c r="L162" s="145" t="str">
        <f t="shared" si="512"/>
        <v/>
      </c>
      <c r="M162" s="94" t="s">
        <v>8</v>
      </c>
      <c r="N162" s="94">
        <v>0.5</v>
      </c>
      <c r="O162" s="145" t="str">
        <f t="shared" si="513"/>
        <v>公斤</v>
      </c>
      <c r="P162" s="94" t="s">
        <v>28</v>
      </c>
      <c r="Q162" s="94">
        <v>0.6</v>
      </c>
      <c r="R162" s="145" t="str">
        <f t="shared" si="514"/>
        <v>公斤</v>
      </c>
      <c r="S162" s="92" t="s">
        <v>79</v>
      </c>
      <c r="T162" s="92">
        <v>0.5</v>
      </c>
      <c r="U162" s="145" t="str">
        <f t="shared" si="515"/>
        <v>公斤</v>
      </c>
      <c r="V162" s="92"/>
      <c r="W162" s="92"/>
      <c r="X162" s="145" t="str">
        <f t="shared" si="516"/>
        <v/>
      </c>
      <c r="Y162" s="94" t="s">
        <v>449</v>
      </c>
      <c r="Z162" s="94">
        <v>0.5</v>
      </c>
      <c r="AA162" s="145" t="str">
        <f t="shared" si="517"/>
        <v>公斤</v>
      </c>
      <c r="AB162" s="232"/>
      <c r="AC162" s="233"/>
      <c r="AD162" s="231"/>
      <c r="AE162" s="231"/>
      <c r="AF162" s="51"/>
      <c r="AG162" s="231"/>
      <c r="AH162" s="231"/>
      <c r="AI162" s="231"/>
      <c r="AJ162" s="231"/>
      <c r="AK162" s="231"/>
      <c r="AL162" s="231"/>
      <c r="AM162" s="231"/>
      <c r="AN162" s="231"/>
      <c r="AO162" s="231"/>
      <c r="AP162" s="231"/>
      <c r="AQ162" s="231"/>
      <c r="AR162" s="231"/>
    </row>
    <row r="163" spans="1:44" s="229" customFormat="1" ht="16.2">
      <c r="A163" s="241"/>
      <c r="B163" s="113"/>
      <c r="C163" s="116"/>
      <c r="D163" s="116"/>
      <c r="E163" s="116"/>
      <c r="F163" s="116"/>
      <c r="G163" s="116"/>
      <c r="H163" s="116"/>
      <c r="I163" s="116"/>
      <c r="J163" s="92"/>
      <c r="K163" s="92"/>
      <c r="L163" s="145" t="str">
        <f t="shared" si="512"/>
        <v/>
      </c>
      <c r="M163" s="94" t="s">
        <v>222</v>
      </c>
      <c r="N163" s="94"/>
      <c r="O163" s="145" t="str">
        <f t="shared" si="513"/>
        <v/>
      </c>
      <c r="P163" s="94" t="s">
        <v>117</v>
      </c>
      <c r="Q163" s="94">
        <v>0.05</v>
      </c>
      <c r="R163" s="145" t="str">
        <f t="shared" si="514"/>
        <v>公斤</v>
      </c>
      <c r="S163" s="92" t="s">
        <v>174</v>
      </c>
      <c r="T163" s="92">
        <v>0.5</v>
      </c>
      <c r="U163" s="145" t="str">
        <f t="shared" si="515"/>
        <v>公斤</v>
      </c>
      <c r="V163" s="92"/>
      <c r="W163" s="92"/>
      <c r="X163" s="145" t="str">
        <f t="shared" si="516"/>
        <v/>
      </c>
      <c r="Y163" s="94"/>
      <c r="Z163" s="94"/>
      <c r="AA163" s="145" t="str">
        <f t="shared" si="517"/>
        <v/>
      </c>
      <c r="AB163" s="232"/>
      <c r="AC163" s="233"/>
      <c r="AD163" s="231"/>
      <c r="AE163" s="231"/>
      <c r="AF163" s="51"/>
      <c r="AG163" s="231"/>
      <c r="AH163" s="231"/>
      <c r="AI163" s="231"/>
      <c r="AJ163" s="231"/>
      <c r="AK163" s="231"/>
      <c r="AL163" s="231"/>
      <c r="AM163" s="231"/>
      <c r="AN163" s="231"/>
      <c r="AO163" s="231"/>
      <c r="AP163" s="231"/>
      <c r="AQ163" s="231"/>
      <c r="AR163" s="231"/>
    </row>
    <row r="164" spans="1:44" s="229" customFormat="1" ht="16.2">
      <c r="A164" s="241"/>
      <c r="B164" s="113"/>
      <c r="C164" s="116"/>
      <c r="D164" s="116"/>
      <c r="E164" s="116"/>
      <c r="F164" s="116"/>
      <c r="G164" s="116"/>
      <c r="H164" s="116"/>
      <c r="I164" s="116"/>
      <c r="J164" s="92"/>
      <c r="K164" s="92"/>
      <c r="L164" s="145" t="str">
        <f t="shared" si="512"/>
        <v/>
      </c>
      <c r="M164" s="94" t="s">
        <v>77</v>
      </c>
      <c r="N164" s="94"/>
      <c r="O164" s="145" t="str">
        <f t="shared" si="513"/>
        <v/>
      </c>
      <c r="P164" s="94"/>
      <c r="Q164" s="94"/>
      <c r="R164" s="145" t="str">
        <f t="shared" si="514"/>
        <v/>
      </c>
      <c r="S164" s="92" t="s">
        <v>69</v>
      </c>
      <c r="T164" s="92">
        <v>1.2</v>
      </c>
      <c r="U164" s="145" t="str">
        <f t="shared" si="515"/>
        <v>公斤</v>
      </c>
      <c r="V164" s="92"/>
      <c r="W164" s="92"/>
      <c r="X164" s="145" t="str">
        <f t="shared" si="516"/>
        <v/>
      </c>
      <c r="Y164" s="94"/>
      <c r="Z164" s="94"/>
      <c r="AA164" s="145" t="str">
        <f t="shared" si="517"/>
        <v/>
      </c>
      <c r="AB164" s="232"/>
      <c r="AC164" s="233"/>
      <c r="AD164" s="231"/>
      <c r="AE164" s="231"/>
      <c r="AF164" s="51"/>
      <c r="AG164" s="231"/>
      <c r="AH164" s="231"/>
      <c r="AI164" s="231"/>
      <c r="AJ164" s="231"/>
      <c r="AK164" s="231"/>
      <c r="AL164" s="231"/>
      <c r="AM164" s="231"/>
      <c r="AN164" s="231"/>
      <c r="AO164" s="231"/>
      <c r="AP164" s="231"/>
      <c r="AQ164" s="231"/>
      <c r="AR164" s="231"/>
    </row>
    <row r="165" spans="1:44" s="229" customFormat="1" ht="16.8" thickBot="1">
      <c r="A165" s="242"/>
      <c r="B165" s="115"/>
      <c r="C165" s="117"/>
      <c r="D165" s="117"/>
      <c r="E165" s="117"/>
      <c r="F165" s="117"/>
      <c r="G165" s="117"/>
      <c r="H165" s="117"/>
      <c r="I165" s="117"/>
      <c r="J165" s="109"/>
      <c r="K165" s="109"/>
      <c r="L165" s="145" t="str">
        <f t="shared" si="512"/>
        <v/>
      </c>
      <c r="M165" s="234"/>
      <c r="N165" s="234"/>
      <c r="O165" s="145" t="str">
        <f t="shared" si="513"/>
        <v/>
      </c>
      <c r="P165" s="234"/>
      <c r="Q165" s="234"/>
      <c r="R165" s="145" t="str">
        <f t="shared" si="514"/>
        <v/>
      </c>
      <c r="S165" s="109" t="s">
        <v>82</v>
      </c>
      <c r="T165" s="109">
        <v>0.6</v>
      </c>
      <c r="U165" s="145" t="str">
        <f t="shared" si="515"/>
        <v>公斤</v>
      </c>
      <c r="V165" s="109"/>
      <c r="W165" s="109"/>
      <c r="X165" s="145" t="str">
        <f t="shared" si="516"/>
        <v/>
      </c>
      <c r="Y165" s="234"/>
      <c r="Z165" s="234"/>
      <c r="AA165" s="145" t="str">
        <f t="shared" si="517"/>
        <v/>
      </c>
      <c r="AB165" s="234"/>
      <c r="AC165" s="235"/>
      <c r="AD165" s="231"/>
      <c r="AE165" s="231"/>
      <c r="AF165" s="51"/>
      <c r="AG165" s="231"/>
      <c r="AH165" s="231"/>
      <c r="AI165" s="231"/>
      <c r="AJ165" s="231"/>
      <c r="AK165" s="231"/>
      <c r="AL165" s="231"/>
      <c r="AM165" s="231"/>
      <c r="AN165" s="231"/>
      <c r="AO165" s="231"/>
      <c r="AP165" s="231"/>
      <c r="AQ165" s="231"/>
      <c r="AR165" s="231"/>
    </row>
    <row r="166" spans="1:44" ht="15.6">
      <c r="A166" s="47"/>
      <c r="B166" s="47"/>
      <c r="C166" s="103"/>
      <c r="D166" s="103"/>
      <c r="E166" s="103"/>
      <c r="F166" s="103"/>
      <c r="G166" s="103"/>
      <c r="H166" s="103"/>
      <c r="I166" s="103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47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5.6">
      <c r="A167" s="47"/>
      <c r="B167" s="47"/>
      <c r="C167" s="103"/>
      <c r="D167" s="103"/>
      <c r="E167" s="103"/>
      <c r="F167" s="103"/>
      <c r="G167" s="103"/>
      <c r="H167" s="103"/>
      <c r="I167" s="103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47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5.6">
      <c r="A168" s="47"/>
      <c r="B168" s="47"/>
      <c r="C168" s="103"/>
      <c r="D168" s="103"/>
      <c r="E168" s="103"/>
      <c r="F168" s="103"/>
      <c r="G168" s="103"/>
      <c r="H168" s="103"/>
      <c r="I168" s="103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47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5.6">
      <c r="A169" s="47"/>
      <c r="B169" s="47"/>
      <c r="C169" s="103"/>
      <c r="D169" s="103"/>
      <c r="E169" s="103"/>
      <c r="F169" s="103"/>
      <c r="G169" s="103"/>
      <c r="H169" s="103"/>
      <c r="I169" s="103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47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5.6">
      <c r="A170" s="47"/>
      <c r="B170" s="47"/>
      <c r="C170" s="103"/>
      <c r="D170" s="103"/>
      <c r="E170" s="103"/>
      <c r="F170" s="103"/>
      <c r="G170" s="103"/>
      <c r="H170" s="103"/>
      <c r="I170" s="103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47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5.6">
      <c r="A171" s="47"/>
      <c r="B171" s="47"/>
      <c r="C171" s="103"/>
      <c r="D171" s="103"/>
      <c r="E171" s="103"/>
      <c r="F171" s="103"/>
      <c r="G171" s="103"/>
      <c r="H171" s="103"/>
      <c r="I171" s="103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47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5.6">
      <c r="A172" s="47"/>
      <c r="B172" s="47"/>
      <c r="C172" s="103"/>
      <c r="D172" s="103"/>
      <c r="E172" s="103"/>
      <c r="F172" s="103"/>
      <c r="G172" s="103"/>
      <c r="H172" s="103"/>
      <c r="I172" s="103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47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5.6">
      <c r="A173" s="47"/>
      <c r="B173" s="47"/>
      <c r="C173" s="103"/>
      <c r="D173" s="103"/>
      <c r="E173" s="103"/>
      <c r="F173" s="103"/>
      <c r="G173" s="103"/>
      <c r="H173" s="103"/>
      <c r="I173" s="103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47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5.6">
      <c r="A174" s="47"/>
      <c r="B174" s="47"/>
      <c r="C174" s="103"/>
      <c r="D174" s="103"/>
      <c r="E174" s="103"/>
      <c r="F174" s="103"/>
      <c r="G174" s="103"/>
      <c r="H174" s="103"/>
      <c r="I174" s="103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47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5.6">
      <c r="A175" s="47"/>
      <c r="B175" s="47"/>
      <c r="C175" s="103"/>
      <c r="D175" s="103"/>
      <c r="E175" s="103"/>
      <c r="F175" s="103"/>
      <c r="G175" s="103"/>
      <c r="H175" s="103"/>
      <c r="I175" s="103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47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5.6">
      <c r="A176" s="47"/>
      <c r="B176" s="47"/>
      <c r="C176" s="103"/>
      <c r="D176" s="103"/>
      <c r="E176" s="103"/>
      <c r="F176" s="103"/>
      <c r="G176" s="103"/>
      <c r="H176" s="103"/>
      <c r="I176" s="103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47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5.6">
      <c r="A177" s="47"/>
      <c r="B177" s="47"/>
      <c r="C177" s="103"/>
      <c r="D177" s="103"/>
      <c r="E177" s="103"/>
      <c r="F177" s="103"/>
      <c r="G177" s="103"/>
      <c r="H177" s="103"/>
      <c r="I177" s="103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47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5.6">
      <c r="A178" s="47"/>
      <c r="B178" s="47"/>
      <c r="C178" s="103"/>
      <c r="D178" s="103"/>
      <c r="E178" s="103"/>
      <c r="F178" s="103"/>
      <c r="G178" s="103"/>
      <c r="H178" s="103"/>
      <c r="I178" s="103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47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5.6">
      <c r="A179" s="47"/>
      <c r="B179" s="47"/>
      <c r="C179" s="103"/>
      <c r="D179" s="103"/>
      <c r="E179" s="103"/>
      <c r="F179" s="103"/>
      <c r="G179" s="103"/>
      <c r="H179" s="103"/>
      <c r="I179" s="103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47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5.6">
      <c r="A180" s="47"/>
      <c r="B180" s="47"/>
      <c r="C180" s="103"/>
      <c r="D180" s="103"/>
      <c r="E180" s="103"/>
      <c r="F180" s="103"/>
      <c r="G180" s="103"/>
      <c r="H180" s="103"/>
      <c r="I180" s="103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47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5.6">
      <c r="A181" s="47"/>
      <c r="B181" s="47"/>
      <c r="C181" s="103"/>
      <c r="D181" s="103"/>
      <c r="E181" s="103"/>
      <c r="F181" s="103"/>
      <c r="G181" s="103"/>
      <c r="H181" s="103"/>
      <c r="I181" s="103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47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5.6">
      <c r="A182" s="47"/>
      <c r="B182" s="47"/>
      <c r="C182" s="103"/>
      <c r="D182" s="103"/>
      <c r="E182" s="103"/>
      <c r="F182" s="103"/>
      <c r="G182" s="103"/>
      <c r="H182" s="103"/>
      <c r="I182" s="103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47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5.6">
      <c r="A183" s="47"/>
      <c r="B183" s="47"/>
      <c r="C183" s="103"/>
      <c r="D183" s="103"/>
      <c r="E183" s="103"/>
      <c r="F183" s="103"/>
      <c r="G183" s="103"/>
      <c r="H183" s="103"/>
      <c r="I183" s="103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47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5.6">
      <c r="A184" s="47"/>
      <c r="B184" s="47"/>
      <c r="C184" s="103"/>
      <c r="D184" s="103"/>
      <c r="E184" s="103"/>
      <c r="F184" s="103"/>
      <c r="G184" s="103"/>
      <c r="H184" s="103"/>
      <c r="I184" s="103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47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5.6">
      <c r="A185" s="47"/>
      <c r="B185" s="47"/>
      <c r="C185" s="103"/>
      <c r="D185" s="103"/>
      <c r="E185" s="103"/>
      <c r="F185" s="103"/>
      <c r="G185" s="103"/>
      <c r="H185" s="103"/>
      <c r="I185" s="103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47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5.6">
      <c r="A186" s="47"/>
      <c r="B186" s="47"/>
      <c r="C186" s="103"/>
      <c r="D186" s="103"/>
      <c r="E186" s="103"/>
      <c r="F186" s="103"/>
      <c r="G186" s="103"/>
      <c r="H186" s="103"/>
      <c r="I186" s="103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47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5.6">
      <c r="A187" s="47"/>
      <c r="B187" s="47"/>
      <c r="C187" s="103"/>
      <c r="D187" s="103"/>
      <c r="E187" s="103"/>
      <c r="F187" s="103"/>
      <c r="G187" s="103"/>
      <c r="H187" s="103"/>
      <c r="I187" s="103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47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5.6">
      <c r="A188" s="47"/>
      <c r="B188" s="47"/>
      <c r="C188" s="103"/>
      <c r="D188" s="103"/>
      <c r="E188" s="103"/>
      <c r="F188" s="103"/>
      <c r="G188" s="103"/>
      <c r="H188" s="103"/>
      <c r="I188" s="103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47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5.6">
      <c r="A189" s="47"/>
      <c r="B189" s="47"/>
      <c r="C189" s="103"/>
      <c r="D189" s="103"/>
      <c r="E189" s="103"/>
      <c r="F189" s="103"/>
      <c r="G189" s="103"/>
      <c r="H189" s="103"/>
      <c r="I189" s="103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47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5.6">
      <c r="A190" s="47"/>
      <c r="B190" s="47"/>
      <c r="C190" s="103"/>
      <c r="D190" s="103"/>
      <c r="E190" s="103"/>
      <c r="F190" s="103"/>
      <c r="G190" s="103"/>
      <c r="H190" s="103"/>
      <c r="I190" s="103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47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5.6">
      <c r="A191" s="47"/>
      <c r="B191" s="47"/>
      <c r="C191" s="103"/>
      <c r="D191" s="103"/>
      <c r="E191" s="103"/>
      <c r="F191" s="103"/>
      <c r="G191" s="103"/>
      <c r="H191" s="103"/>
      <c r="I191" s="103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47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5.6">
      <c r="A192" s="47"/>
      <c r="B192" s="47"/>
      <c r="C192" s="103"/>
      <c r="D192" s="103"/>
      <c r="E192" s="103"/>
      <c r="F192" s="103"/>
      <c r="G192" s="103"/>
      <c r="H192" s="103"/>
      <c r="I192" s="103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47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5.6">
      <c r="A193" s="47"/>
      <c r="B193" s="47"/>
      <c r="C193" s="103"/>
      <c r="D193" s="103"/>
      <c r="E193" s="103"/>
      <c r="F193" s="103"/>
      <c r="G193" s="103"/>
      <c r="H193" s="103"/>
      <c r="I193" s="103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47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5.6">
      <c r="A194" s="47"/>
      <c r="B194" s="47"/>
      <c r="C194" s="103"/>
      <c r="D194" s="103"/>
      <c r="E194" s="103"/>
      <c r="F194" s="103"/>
      <c r="G194" s="103"/>
      <c r="H194" s="103"/>
      <c r="I194" s="103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47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5.6">
      <c r="A195" s="47"/>
      <c r="B195" s="47"/>
      <c r="C195" s="103"/>
      <c r="D195" s="103"/>
      <c r="E195" s="103"/>
      <c r="F195" s="103"/>
      <c r="G195" s="103"/>
      <c r="H195" s="103"/>
      <c r="I195" s="103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47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5.6">
      <c r="A196" s="47"/>
      <c r="B196" s="47"/>
      <c r="C196" s="103"/>
      <c r="D196" s="103"/>
      <c r="E196" s="103"/>
      <c r="F196" s="103"/>
      <c r="G196" s="103"/>
      <c r="H196" s="103"/>
      <c r="I196" s="103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47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5.6">
      <c r="A197" s="47"/>
      <c r="B197" s="47"/>
      <c r="C197" s="103"/>
      <c r="D197" s="103"/>
      <c r="E197" s="103"/>
      <c r="F197" s="103"/>
      <c r="G197" s="103"/>
      <c r="H197" s="103"/>
      <c r="I197" s="103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47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5.6">
      <c r="A198" s="47"/>
      <c r="B198" s="47"/>
      <c r="C198" s="103"/>
      <c r="D198" s="103"/>
      <c r="E198" s="103"/>
      <c r="F198" s="103"/>
      <c r="G198" s="103"/>
      <c r="H198" s="103"/>
      <c r="I198" s="103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47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5.6">
      <c r="A199" s="47"/>
      <c r="B199" s="47"/>
      <c r="C199" s="103"/>
      <c r="D199" s="103"/>
      <c r="E199" s="103"/>
      <c r="F199" s="103"/>
      <c r="G199" s="103"/>
      <c r="H199" s="103"/>
      <c r="I199" s="103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47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5.6">
      <c r="A200" s="47"/>
      <c r="B200" s="47"/>
      <c r="C200" s="103"/>
      <c r="D200" s="103"/>
      <c r="E200" s="103"/>
      <c r="F200" s="103"/>
      <c r="G200" s="103"/>
      <c r="H200" s="103"/>
      <c r="I200" s="103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47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5.6">
      <c r="A201" s="47"/>
      <c r="B201" s="47"/>
      <c r="C201" s="103"/>
      <c r="D201" s="103"/>
      <c r="E201" s="103"/>
      <c r="F201" s="103"/>
      <c r="G201" s="103"/>
      <c r="H201" s="103"/>
      <c r="I201" s="103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47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5.6">
      <c r="A202" s="47"/>
      <c r="B202" s="47"/>
      <c r="C202" s="103"/>
      <c r="D202" s="103"/>
      <c r="E202" s="103"/>
      <c r="F202" s="103"/>
      <c r="G202" s="103"/>
      <c r="H202" s="103"/>
      <c r="I202" s="103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47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5.6">
      <c r="A203" s="47"/>
      <c r="B203" s="47"/>
      <c r="C203" s="103"/>
      <c r="D203" s="103"/>
      <c r="E203" s="103"/>
      <c r="F203" s="103"/>
      <c r="G203" s="103"/>
      <c r="H203" s="103"/>
      <c r="I203" s="103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47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5.6">
      <c r="A204" s="47"/>
      <c r="B204" s="47"/>
      <c r="C204" s="103"/>
      <c r="D204" s="103"/>
      <c r="E204" s="103"/>
      <c r="F204" s="103"/>
      <c r="G204" s="103"/>
      <c r="H204" s="103"/>
      <c r="I204" s="103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47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5.6">
      <c r="A205" s="47"/>
      <c r="B205" s="47"/>
      <c r="C205" s="103"/>
      <c r="D205" s="103"/>
      <c r="E205" s="103"/>
      <c r="F205" s="103"/>
      <c r="G205" s="103"/>
      <c r="H205" s="103"/>
      <c r="I205" s="103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47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5.6">
      <c r="A206" s="47"/>
      <c r="B206" s="47"/>
      <c r="C206" s="103"/>
      <c r="D206" s="103"/>
      <c r="E206" s="103"/>
      <c r="F206" s="103"/>
      <c r="G206" s="103"/>
      <c r="H206" s="103"/>
      <c r="I206" s="103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47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5.6">
      <c r="A207" s="47"/>
      <c r="B207" s="47"/>
      <c r="C207" s="103"/>
      <c r="D207" s="103"/>
      <c r="E207" s="103"/>
      <c r="F207" s="103"/>
      <c r="G207" s="103"/>
      <c r="H207" s="103"/>
      <c r="I207" s="103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47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5.6">
      <c r="A208" s="47"/>
      <c r="B208" s="47"/>
      <c r="C208" s="103"/>
      <c r="D208" s="103"/>
      <c r="E208" s="103"/>
      <c r="F208" s="103"/>
      <c r="G208" s="103"/>
      <c r="H208" s="103"/>
      <c r="I208" s="103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47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5.6">
      <c r="A209" s="47"/>
      <c r="B209" s="47"/>
      <c r="C209" s="103"/>
      <c r="D209" s="103"/>
      <c r="E209" s="103"/>
      <c r="F209" s="103"/>
      <c r="G209" s="103"/>
      <c r="H209" s="103"/>
      <c r="I209" s="103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47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5.6">
      <c r="A210" s="47"/>
      <c r="B210" s="47"/>
      <c r="C210" s="103"/>
      <c r="D210" s="103"/>
      <c r="E210" s="103"/>
      <c r="F210" s="103"/>
      <c r="G210" s="103"/>
      <c r="H210" s="103"/>
      <c r="I210" s="103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47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5.6">
      <c r="A211" s="47"/>
      <c r="B211" s="47"/>
      <c r="C211" s="103"/>
      <c r="D211" s="103"/>
      <c r="E211" s="103"/>
      <c r="F211" s="103"/>
      <c r="G211" s="103"/>
      <c r="H211" s="103"/>
      <c r="I211" s="103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47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5.6">
      <c r="A212" s="47"/>
      <c r="B212" s="47"/>
      <c r="C212" s="103"/>
      <c r="D212" s="103"/>
      <c r="E212" s="103"/>
      <c r="F212" s="103"/>
      <c r="G212" s="103"/>
      <c r="H212" s="103"/>
      <c r="I212" s="103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47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5.6">
      <c r="A213" s="47"/>
      <c r="B213" s="47"/>
      <c r="C213" s="103"/>
      <c r="D213" s="103"/>
      <c r="E213" s="103"/>
      <c r="F213" s="103"/>
      <c r="G213" s="103"/>
      <c r="H213" s="103"/>
      <c r="I213" s="103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47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5.6">
      <c r="A214" s="47"/>
      <c r="B214" s="47"/>
      <c r="C214" s="103"/>
      <c r="D214" s="103"/>
      <c r="E214" s="103"/>
      <c r="F214" s="103"/>
      <c r="G214" s="103"/>
      <c r="H214" s="103"/>
      <c r="I214" s="103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47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5.6">
      <c r="A215" s="47"/>
      <c r="B215" s="47"/>
      <c r="C215" s="103"/>
      <c r="D215" s="103"/>
      <c r="E215" s="103"/>
      <c r="F215" s="103"/>
      <c r="G215" s="103"/>
      <c r="H215" s="103"/>
      <c r="I215" s="103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47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5.6">
      <c r="A216" s="47"/>
      <c r="B216" s="47"/>
      <c r="C216" s="103"/>
      <c r="D216" s="103"/>
      <c r="E216" s="103"/>
      <c r="F216" s="103"/>
      <c r="G216" s="103"/>
      <c r="H216" s="103"/>
      <c r="I216" s="103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47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5.6">
      <c r="A217" s="47"/>
      <c r="B217" s="47"/>
      <c r="C217" s="103"/>
      <c r="D217" s="103"/>
      <c r="E217" s="103"/>
      <c r="F217" s="103"/>
      <c r="G217" s="103"/>
      <c r="H217" s="103"/>
      <c r="I217" s="103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47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5.6">
      <c r="A218" s="47"/>
      <c r="B218" s="47"/>
      <c r="C218" s="103"/>
      <c r="D218" s="103"/>
      <c r="E218" s="103"/>
      <c r="F218" s="103"/>
      <c r="G218" s="103"/>
      <c r="H218" s="103"/>
      <c r="I218" s="103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47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5.6">
      <c r="A219" s="47"/>
      <c r="B219" s="47"/>
      <c r="C219" s="103"/>
      <c r="D219" s="103"/>
      <c r="E219" s="103"/>
      <c r="F219" s="103"/>
      <c r="G219" s="103"/>
      <c r="H219" s="103"/>
      <c r="I219" s="103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47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5.6">
      <c r="A220" s="47"/>
      <c r="B220" s="47"/>
      <c r="C220" s="103"/>
      <c r="D220" s="103"/>
      <c r="E220" s="103"/>
      <c r="F220" s="103"/>
      <c r="G220" s="103"/>
      <c r="H220" s="103"/>
      <c r="I220" s="103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47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5.6">
      <c r="A221" s="47"/>
      <c r="B221" s="47"/>
      <c r="C221" s="103"/>
      <c r="D221" s="103"/>
      <c r="E221" s="103"/>
      <c r="F221" s="103"/>
      <c r="G221" s="103"/>
      <c r="H221" s="103"/>
      <c r="I221" s="103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47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5.6">
      <c r="A222" s="47"/>
      <c r="B222" s="47"/>
      <c r="C222" s="103"/>
      <c r="D222" s="103"/>
      <c r="E222" s="103"/>
      <c r="F222" s="103"/>
      <c r="G222" s="103"/>
      <c r="H222" s="103"/>
      <c r="I222" s="103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47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5.6">
      <c r="A223" s="47"/>
      <c r="B223" s="47"/>
      <c r="C223" s="103"/>
      <c r="D223" s="103"/>
      <c r="E223" s="103"/>
      <c r="F223" s="103"/>
      <c r="G223" s="103"/>
      <c r="H223" s="103"/>
      <c r="I223" s="103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47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5.6">
      <c r="A224" s="47"/>
      <c r="B224" s="47"/>
      <c r="C224" s="103"/>
      <c r="D224" s="103"/>
      <c r="E224" s="103"/>
      <c r="F224" s="103"/>
      <c r="G224" s="103"/>
      <c r="H224" s="103"/>
      <c r="I224" s="103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47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5.6">
      <c r="A225" s="47"/>
      <c r="B225" s="47"/>
      <c r="C225" s="103"/>
      <c r="D225" s="103"/>
      <c r="E225" s="103"/>
      <c r="F225" s="103"/>
      <c r="G225" s="103"/>
      <c r="H225" s="103"/>
      <c r="I225" s="103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47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5.6">
      <c r="A226" s="47"/>
      <c r="B226" s="47"/>
      <c r="C226" s="103"/>
      <c r="D226" s="103"/>
      <c r="E226" s="103"/>
      <c r="F226" s="103"/>
      <c r="G226" s="103"/>
      <c r="H226" s="103"/>
      <c r="I226" s="103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47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5.6">
      <c r="A227" s="47"/>
      <c r="B227" s="47"/>
      <c r="C227" s="103"/>
      <c r="D227" s="103"/>
      <c r="E227" s="103"/>
      <c r="F227" s="103"/>
      <c r="G227" s="103"/>
      <c r="H227" s="103"/>
      <c r="I227" s="103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47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5.6">
      <c r="A228" s="47"/>
      <c r="B228" s="47"/>
      <c r="C228" s="103"/>
      <c r="D228" s="103"/>
      <c r="E228" s="103"/>
      <c r="F228" s="103"/>
      <c r="G228" s="103"/>
      <c r="H228" s="103"/>
      <c r="I228" s="103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47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5.6">
      <c r="A229" s="47"/>
      <c r="B229" s="47"/>
      <c r="C229" s="103"/>
      <c r="D229" s="103"/>
      <c r="E229" s="103"/>
      <c r="F229" s="103"/>
      <c r="G229" s="103"/>
      <c r="H229" s="103"/>
      <c r="I229" s="103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47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5.6">
      <c r="A230" s="47"/>
      <c r="B230" s="47"/>
      <c r="C230" s="103"/>
      <c r="D230" s="103"/>
      <c r="E230" s="103"/>
      <c r="F230" s="103"/>
      <c r="G230" s="103"/>
      <c r="H230" s="103"/>
      <c r="I230" s="103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47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5.6">
      <c r="A231" s="47"/>
      <c r="B231" s="47"/>
      <c r="C231" s="103"/>
      <c r="D231" s="103"/>
      <c r="E231" s="103"/>
      <c r="F231" s="103"/>
      <c r="G231" s="103"/>
      <c r="H231" s="103"/>
      <c r="I231" s="103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47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5.6">
      <c r="A232" s="47"/>
      <c r="B232" s="47"/>
      <c r="C232" s="103"/>
      <c r="D232" s="103"/>
      <c r="E232" s="103"/>
      <c r="F232" s="103"/>
      <c r="G232" s="103"/>
      <c r="H232" s="103"/>
      <c r="I232" s="103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47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5.6">
      <c r="A233" s="47"/>
      <c r="B233" s="47"/>
      <c r="C233" s="103"/>
      <c r="D233" s="103"/>
      <c r="E233" s="103"/>
      <c r="F233" s="103"/>
      <c r="G233" s="103"/>
      <c r="H233" s="103"/>
      <c r="I233" s="103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47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5.6">
      <c r="A234" s="47"/>
      <c r="B234" s="47"/>
      <c r="C234" s="103"/>
      <c r="D234" s="103"/>
      <c r="E234" s="103"/>
      <c r="F234" s="103"/>
      <c r="G234" s="103"/>
      <c r="H234" s="103"/>
      <c r="I234" s="103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47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5.6">
      <c r="A235" s="47"/>
      <c r="B235" s="47"/>
      <c r="C235" s="103"/>
      <c r="D235" s="103"/>
      <c r="E235" s="103"/>
      <c r="F235" s="103"/>
      <c r="G235" s="103"/>
      <c r="H235" s="103"/>
      <c r="I235" s="103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47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5.6">
      <c r="A236" s="47"/>
      <c r="B236" s="47"/>
      <c r="C236" s="103"/>
      <c r="D236" s="103"/>
      <c r="E236" s="103"/>
      <c r="F236" s="103"/>
      <c r="G236" s="103"/>
      <c r="H236" s="103"/>
      <c r="I236" s="103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47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5.6">
      <c r="A237" s="47"/>
      <c r="B237" s="47"/>
      <c r="C237" s="103"/>
      <c r="D237" s="103"/>
      <c r="E237" s="103"/>
      <c r="F237" s="103"/>
      <c r="G237" s="103"/>
      <c r="H237" s="103"/>
      <c r="I237" s="103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47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5.6">
      <c r="A238" s="47"/>
      <c r="B238" s="47"/>
      <c r="C238" s="103"/>
      <c r="D238" s="103"/>
      <c r="E238" s="103"/>
      <c r="F238" s="103"/>
      <c r="G238" s="103"/>
      <c r="H238" s="103"/>
      <c r="I238" s="103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47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5.6">
      <c r="A239" s="47"/>
      <c r="B239" s="47"/>
      <c r="C239" s="103"/>
      <c r="D239" s="103"/>
      <c r="E239" s="103"/>
      <c r="F239" s="103"/>
      <c r="G239" s="103"/>
      <c r="H239" s="103"/>
      <c r="I239" s="103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47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5.6">
      <c r="A240" s="47"/>
      <c r="B240" s="47"/>
      <c r="C240" s="103"/>
      <c r="D240" s="103"/>
      <c r="E240" s="103"/>
      <c r="F240" s="103"/>
      <c r="G240" s="103"/>
      <c r="H240" s="103"/>
      <c r="I240" s="103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47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5.6">
      <c r="A241" s="47"/>
      <c r="B241" s="47"/>
      <c r="C241" s="103"/>
      <c r="D241" s="103"/>
      <c r="E241" s="103"/>
      <c r="F241" s="103"/>
      <c r="G241" s="103"/>
      <c r="H241" s="103"/>
      <c r="I241" s="103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47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5.6">
      <c r="A242" s="47"/>
      <c r="B242" s="47"/>
      <c r="C242" s="103"/>
      <c r="D242" s="103"/>
      <c r="E242" s="103"/>
      <c r="F242" s="103"/>
      <c r="G242" s="103"/>
      <c r="H242" s="103"/>
      <c r="I242" s="103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47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5.6">
      <c r="A243" s="47"/>
      <c r="B243" s="47"/>
      <c r="C243" s="103"/>
      <c r="D243" s="103"/>
      <c r="E243" s="103"/>
      <c r="F243" s="103"/>
      <c r="G243" s="103"/>
      <c r="H243" s="103"/>
      <c r="I243" s="103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47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5.6">
      <c r="A244" s="47"/>
      <c r="B244" s="47"/>
      <c r="C244" s="103"/>
      <c r="D244" s="103"/>
      <c r="E244" s="103"/>
      <c r="F244" s="103"/>
      <c r="G244" s="103"/>
      <c r="H244" s="103"/>
      <c r="I244" s="103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47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5.6">
      <c r="A245" s="47"/>
      <c r="B245" s="47"/>
      <c r="C245" s="103"/>
      <c r="D245" s="103"/>
      <c r="E245" s="103"/>
      <c r="F245" s="103"/>
      <c r="G245" s="103"/>
      <c r="H245" s="103"/>
      <c r="I245" s="103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47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5.6">
      <c r="A246" s="47"/>
      <c r="B246" s="47"/>
      <c r="C246" s="103"/>
      <c r="D246" s="103"/>
      <c r="E246" s="103"/>
      <c r="F246" s="103"/>
      <c r="G246" s="103"/>
      <c r="H246" s="103"/>
      <c r="I246" s="103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47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5.6">
      <c r="A247" s="47"/>
      <c r="B247" s="47"/>
      <c r="C247" s="103"/>
      <c r="D247" s="103"/>
      <c r="E247" s="103"/>
      <c r="F247" s="103"/>
      <c r="G247" s="103"/>
      <c r="H247" s="103"/>
      <c r="I247" s="103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47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5.6">
      <c r="A248" s="47"/>
      <c r="B248" s="47"/>
      <c r="C248" s="103"/>
      <c r="D248" s="103"/>
      <c r="E248" s="103"/>
      <c r="F248" s="103"/>
      <c r="G248" s="103"/>
      <c r="H248" s="103"/>
      <c r="I248" s="103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47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5.6">
      <c r="A249" s="47"/>
      <c r="B249" s="47"/>
      <c r="C249" s="103"/>
      <c r="D249" s="103"/>
      <c r="E249" s="103"/>
      <c r="F249" s="103"/>
      <c r="G249" s="103"/>
      <c r="H249" s="103"/>
      <c r="I249" s="103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47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5.6">
      <c r="A250" s="47"/>
      <c r="B250" s="47"/>
      <c r="C250" s="103"/>
      <c r="D250" s="103"/>
      <c r="E250" s="103"/>
      <c r="F250" s="103"/>
      <c r="G250" s="103"/>
      <c r="H250" s="103"/>
      <c r="I250" s="103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47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5.6">
      <c r="A251" s="47"/>
      <c r="B251" s="47"/>
      <c r="C251" s="103"/>
      <c r="D251" s="103"/>
      <c r="E251" s="103"/>
      <c r="F251" s="103"/>
      <c r="G251" s="103"/>
      <c r="H251" s="103"/>
      <c r="I251" s="103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47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5.6">
      <c r="A252" s="47"/>
      <c r="B252" s="47"/>
      <c r="C252" s="103"/>
      <c r="D252" s="103"/>
      <c r="E252" s="103"/>
      <c r="F252" s="103"/>
      <c r="G252" s="103"/>
      <c r="H252" s="103"/>
      <c r="I252" s="103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47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5.6">
      <c r="A253" s="47"/>
      <c r="B253" s="47"/>
      <c r="C253" s="103"/>
      <c r="D253" s="103"/>
      <c r="E253" s="103"/>
      <c r="F253" s="103"/>
      <c r="G253" s="103"/>
      <c r="H253" s="103"/>
      <c r="I253" s="103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47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5.6">
      <c r="A254" s="47"/>
      <c r="B254" s="47"/>
      <c r="C254" s="103"/>
      <c r="D254" s="103"/>
      <c r="E254" s="103"/>
      <c r="F254" s="103"/>
      <c r="G254" s="103"/>
      <c r="H254" s="103"/>
      <c r="I254" s="103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47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5.6">
      <c r="A255" s="47"/>
      <c r="B255" s="47"/>
      <c r="C255" s="103"/>
      <c r="D255" s="103"/>
      <c r="E255" s="103"/>
      <c r="F255" s="103"/>
      <c r="G255" s="103"/>
      <c r="H255" s="103"/>
      <c r="I255" s="103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47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5.6">
      <c r="A256" s="47"/>
      <c r="B256" s="47"/>
      <c r="C256" s="103"/>
      <c r="D256" s="103"/>
      <c r="E256" s="103"/>
      <c r="F256" s="103"/>
      <c r="G256" s="103"/>
      <c r="H256" s="103"/>
      <c r="I256" s="103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47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5.6">
      <c r="A257" s="47"/>
      <c r="B257" s="47"/>
      <c r="C257" s="103"/>
      <c r="D257" s="103"/>
      <c r="E257" s="103"/>
      <c r="F257" s="103"/>
      <c r="G257" s="103"/>
      <c r="H257" s="103"/>
      <c r="I257" s="103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47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5.6">
      <c r="A258" s="47"/>
      <c r="B258" s="47"/>
      <c r="C258" s="103"/>
      <c r="D258" s="103"/>
      <c r="E258" s="103"/>
      <c r="F258" s="103"/>
      <c r="G258" s="103"/>
      <c r="H258" s="103"/>
      <c r="I258" s="103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47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5.6">
      <c r="A259" s="47"/>
      <c r="B259" s="47"/>
      <c r="C259" s="103"/>
      <c r="D259" s="103"/>
      <c r="E259" s="103"/>
      <c r="F259" s="103"/>
      <c r="G259" s="103"/>
      <c r="H259" s="103"/>
      <c r="I259" s="103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47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5.6">
      <c r="A260" s="47"/>
      <c r="B260" s="47"/>
      <c r="C260" s="103"/>
      <c r="D260" s="103"/>
      <c r="E260" s="103"/>
      <c r="F260" s="103"/>
      <c r="G260" s="103"/>
      <c r="H260" s="103"/>
      <c r="I260" s="103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47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5.6">
      <c r="A261" s="47"/>
      <c r="B261" s="47"/>
      <c r="C261" s="103"/>
      <c r="D261" s="103"/>
      <c r="E261" s="103"/>
      <c r="F261" s="103"/>
      <c r="G261" s="103"/>
      <c r="H261" s="103"/>
      <c r="I261" s="103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47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5.6">
      <c r="A262" s="47"/>
      <c r="B262" s="47"/>
      <c r="C262" s="103"/>
      <c r="D262" s="103"/>
      <c r="E262" s="103"/>
      <c r="F262" s="103"/>
      <c r="G262" s="103"/>
      <c r="H262" s="103"/>
      <c r="I262" s="103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47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5.6">
      <c r="A263" s="47"/>
      <c r="B263" s="47"/>
      <c r="C263" s="103"/>
      <c r="D263" s="103"/>
      <c r="E263" s="103"/>
      <c r="F263" s="103"/>
      <c r="G263" s="103"/>
      <c r="H263" s="103"/>
      <c r="I263" s="103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47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5.6">
      <c r="A264" s="47"/>
      <c r="B264" s="47"/>
      <c r="C264" s="103"/>
      <c r="D264" s="103"/>
      <c r="E264" s="103"/>
      <c r="F264" s="103"/>
      <c r="G264" s="103"/>
      <c r="H264" s="103"/>
      <c r="I264" s="103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47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5.6">
      <c r="A265" s="47"/>
      <c r="B265" s="47"/>
      <c r="C265" s="103"/>
      <c r="D265" s="103"/>
      <c r="E265" s="103"/>
      <c r="F265" s="103"/>
      <c r="G265" s="103"/>
      <c r="H265" s="103"/>
      <c r="I265" s="103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47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5.6">
      <c r="A266" s="47"/>
      <c r="B266" s="47"/>
      <c r="C266" s="103"/>
      <c r="D266" s="103"/>
      <c r="E266" s="103"/>
      <c r="F266" s="103"/>
      <c r="G266" s="103"/>
      <c r="H266" s="103"/>
      <c r="I266" s="103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47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5.6">
      <c r="A267" s="47"/>
      <c r="B267" s="47"/>
      <c r="C267" s="103"/>
      <c r="D267" s="103"/>
      <c r="E267" s="103"/>
      <c r="F267" s="103"/>
      <c r="G267" s="103"/>
      <c r="H267" s="103"/>
      <c r="I267" s="103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47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5.6">
      <c r="A268" s="47"/>
      <c r="B268" s="47"/>
      <c r="C268" s="103"/>
      <c r="D268" s="103"/>
      <c r="E268" s="103"/>
      <c r="F268" s="103"/>
      <c r="G268" s="103"/>
      <c r="H268" s="103"/>
      <c r="I268" s="103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47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5.6">
      <c r="A269" s="47"/>
      <c r="B269" s="47"/>
      <c r="C269" s="103"/>
      <c r="D269" s="103"/>
      <c r="E269" s="103"/>
      <c r="F269" s="103"/>
      <c r="G269" s="103"/>
      <c r="H269" s="103"/>
      <c r="I269" s="103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47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5.6">
      <c r="A270" s="47"/>
      <c r="B270" s="47"/>
      <c r="C270" s="103"/>
      <c r="D270" s="103"/>
      <c r="E270" s="103"/>
      <c r="F270" s="103"/>
      <c r="G270" s="103"/>
      <c r="H270" s="103"/>
      <c r="I270" s="103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47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5.6">
      <c r="A271" s="47"/>
      <c r="B271" s="47"/>
      <c r="C271" s="103"/>
      <c r="D271" s="103"/>
      <c r="E271" s="103"/>
      <c r="F271" s="103"/>
      <c r="G271" s="103"/>
      <c r="H271" s="103"/>
      <c r="I271" s="103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47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5.6">
      <c r="A272" s="47"/>
      <c r="B272" s="47"/>
      <c r="C272" s="103"/>
      <c r="D272" s="103"/>
      <c r="E272" s="103"/>
      <c r="F272" s="103"/>
      <c r="G272" s="103"/>
      <c r="H272" s="103"/>
      <c r="I272" s="103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47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5.6">
      <c r="A273" s="47"/>
      <c r="B273" s="47"/>
      <c r="C273" s="103"/>
      <c r="D273" s="103"/>
      <c r="E273" s="103"/>
      <c r="F273" s="103"/>
      <c r="G273" s="103"/>
      <c r="H273" s="103"/>
      <c r="I273" s="103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47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5.6">
      <c r="A274" s="47"/>
      <c r="B274" s="47"/>
      <c r="C274" s="103"/>
      <c r="D274" s="103"/>
      <c r="E274" s="103"/>
      <c r="F274" s="103"/>
      <c r="G274" s="103"/>
      <c r="H274" s="103"/>
      <c r="I274" s="103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47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5.6">
      <c r="A275" s="47"/>
      <c r="B275" s="47"/>
      <c r="C275" s="103"/>
      <c r="D275" s="103"/>
      <c r="E275" s="103"/>
      <c r="F275" s="103"/>
      <c r="G275" s="103"/>
      <c r="H275" s="103"/>
      <c r="I275" s="103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47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5.6">
      <c r="A276" s="47"/>
      <c r="B276" s="47"/>
      <c r="C276" s="103"/>
      <c r="D276" s="103"/>
      <c r="E276" s="103"/>
      <c r="F276" s="103"/>
      <c r="G276" s="103"/>
      <c r="H276" s="103"/>
      <c r="I276" s="103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47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5.6">
      <c r="A277" s="47"/>
      <c r="B277" s="47"/>
      <c r="C277" s="103"/>
      <c r="D277" s="103"/>
      <c r="E277" s="103"/>
      <c r="F277" s="103"/>
      <c r="G277" s="103"/>
      <c r="H277" s="103"/>
      <c r="I277" s="103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47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5.6">
      <c r="A278" s="47"/>
      <c r="B278" s="47"/>
      <c r="C278" s="103"/>
      <c r="D278" s="103"/>
      <c r="E278" s="103"/>
      <c r="F278" s="103"/>
      <c r="G278" s="103"/>
      <c r="H278" s="103"/>
      <c r="I278" s="103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47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5.6">
      <c r="A279" s="47"/>
      <c r="B279" s="47"/>
      <c r="C279" s="103"/>
      <c r="D279" s="103"/>
      <c r="E279" s="103"/>
      <c r="F279" s="103"/>
      <c r="G279" s="103"/>
      <c r="H279" s="103"/>
      <c r="I279" s="103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47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5.6">
      <c r="A280" s="47"/>
      <c r="B280" s="47"/>
      <c r="C280" s="103"/>
      <c r="D280" s="103"/>
      <c r="E280" s="103"/>
      <c r="F280" s="103"/>
      <c r="G280" s="103"/>
      <c r="H280" s="103"/>
      <c r="I280" s="103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47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5.6">
      <c r="A281" s="47"/>
      <c r="B281" s="47"/>
      <c r="C281" s="103"/>
      <c r="D281" s="103"/>
      <c r="E281" s="103"/>
      <c r="F281" s="103"/>
      <c r="G281" s="103"/>
      <c r="H281" s="103"/>
      <c r="I281" s="103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47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5.6">
      <c r="A282" s="47"/>
      <c r="B282" s="47"/>
      <c r="C282" s="103"/>
      <c r="D282" s="103"/>
      <c r="E282" s="103"/>
      <c r="F282" s="103"/>
      <c r="G282" s="103"/>
      <c r="H282" s="103"/>
      <c r="I282" s="103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47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5.6">
      <c r="A283" s="47"/>
      <c r="B283" s="47"/>
      <c r="C283" s="103"/>
      <c r="D283" s="103"/>
      <c r="E283" s="103"/>
      <c r="F283" s="103"/>
      <c r="G283" s="103"/>
      <c r="H283" s="103"/>
      <c r="I283" s="103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47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5.6">
      <c r="A284" s="47"/>
      <c r="B284" s="47"/>
      <c r="C284" s="103"/>
      <c r="D284" s="103"/>
      <c r="E284" s="103"/>
      <c r="F284" s="103"/>
      <c r="G284" s="103"/>
      <c r="H284" s="103"/>
      <c r="I284" s="103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47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5.6">
      <c r="A285" s="47"/>
      <c r="B285" s="47"/>
      <c r="C285" s="103"/>
      <c r="D285" s="103"/>
      <c r="E285" s="103"/>
      <c r="F285" s="103"/>
      <c r="G285" s="103"/>
      <c r="H285" s="103"/>
      <c r="I285" s="103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47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5.6">
      <c r="A286" s="47"/>
      <c r="B286" s="47"/>
      <c r="C286" s="103"/>
      <c r="D286" s="103"/>
      <c r="E286" s="103"/>
      <c r="F286" s="103"/>
      <c r="G286" s="103"/>
      <c r="H286" s="103"/>
      <c r="I286" s="103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47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5.6">
      <c r="A287" s="47"/>
      <c r="B287" s="47"/>
      <c r="C287" s="103"/>
      <c r="D287" s="103"/>
      <c r="E287" s="103"/>
      <c r="F287" s="103"/>
      <c r="G287" s="103"/>
      <c r="H287" s="103"/>
      <c r="I287" s="103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47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5.6">
      <c r="A288" s="47"/>
      <c r="B288" s="47"/>
      <c r="C288" s="103"/>
      <c r="D288" s="103"/>
      <c r="E288" s="103"/>
      <c r="F288" s="103"/>
      <c r="G288" s="103"/>
      <c r="H288" s="103"/>
      <c r="I288" s="103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47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5.6">
      <c r="A289" s="47"/>
      <c r="B289" s="47"/>
      <c r="C289" s="103"/>
      <c r="D289" s="103"/>
      <c r="E289" s="103"/>
      <c r="F289" s="103"/>
      <c r="G289" s="103"/>
      <c r="H289" s="103"/>
      <c r="I289" s="103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47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5.6">
      <c r="A290" s="47"/>
      <c r="B290" s="47"/>
      <c r="C290" s="103"/>
      <c r="D290" s="103"/>
      <c r="E290" s="103"/>
      <c r="F290" s="103"/>
      <c r="G290" s="103"/>
      <c r="H290" s="103"/>
      <c r="I290" s="103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47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5.6">
      <c r="A291" s="47"/>
      <c r="B291" s="47"/>
      <c r="C291" s="103"/>
      <c r="D291" s="103"/>
      <c r="E291" s="103"/>
      <c r="F291" s="103"/>
      <c r="G291" s="103"/>
      <c r="H291" s="103"/>
      <c r="I291" s="103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47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5.6">
      <c r="A292" s="47"/>
      <c r="B292" s="47"/>
      <c r="C292" s="103"/>
      <c r="D292" s="103"/>
      <c r="E292" s="103"/>
      <c r="F292" s="103"/>
      <c r="G292" s="103"/>
      <c r="H292" s="103"/>
      <c r="I292" s="103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47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5.6">
      <c r="A293" s="47"/>
      <c r="B293" s="47"/>
      <c r="C293" s="103"/>
      <c r="D293" s="103"/>
      <c r="E293" s="103"/>
      <c r="F293" s="103"/>
      <c r="G293" s="103"/>
      <c r="H293" s="103"/>
      <c r="I293" s="103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47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5.6">
      <c r="A294" s="47"/>
      <c r="B294" s="47"/>
      <c r="C294" s="103"/>
      <c r="D294" s="103"/>
      <c r="E294" s="103"/>
      <c r="F294" s="103"/>
      <c r="G294" s="103"/>
      <c r="H294" s="103"/>
      <c r="I294" s="103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47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5.6">
      <c r="A295" s="47"/>
      <c r="B295" s="47"/>
      <c r="C295" s="103"/>
      <c r="D295" s="103"/>
      <c r="E295" s="103"/>
      <c r="F295" s="103"/>
      <c r="G295" s="103"/>
      <c r="H295" s="103"/>
      <c r="I295" s="103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47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5.6">
      <c r="A296" s="47"/>
      <c r="B296" s="47"/>
      <c r="C296" s="103"/>
      <c r="D296" s="103"/>
      <c r="E296" s="103"/>
      <c r="F296" s="103"/>
      <c r="G296" s="103"/>
      <c r="H296" s="103"/>
      <c r="I296" s="103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47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5.6">
      <c r="A297" s="47"/>
      <c r="B297" s="47"/>
      <c r="C297" s="103"/>
      <c r="D297" s="103"/>
      <c r="E297" s="103"/>
      <c r="F297" s="103"/>
      <c r="G297" s="103"/>
      <c r="H297" s="103"/>
      <c r="I297" s="103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47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5.6">
      <c r="A298" s="47"/>
      <c r="B298" s="47"/>
      <c r="C298" s="103"/>
      <c r="D298" s="103"/>
      <c r="E298" s="103"/>
      <c r="F298" s="103"/>
      <c r="G298" s="103"/>
      <c r="H298" s="103"/>
      <c r="I298" s="103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47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5.6">
      <c r="A299" s="47"/>
      <c r="B299" s="47"/>
      <c r="C299" s="103"/>
      <c r="D299" s="103"/>
      <c r="E299" s="103"/>
      <c r="F299" s="103"/>
      <c r="G299" s="103"/>
      <c r="H299" s="103"/>
      <c r="I299" s="103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47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5.6">
      <c r="A300" s="47"/>
      <c r="B300" s="47"/>
      <c r="C300" s="103"/>
      <c r="D300" s="103"/>
      <c r="E300" s="103"/>
      <c r="F300" s="103"/>
      <c r="G300" s="103"/>
      <c r="H300" s="103"/>
      <c r="I300" s="103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47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5.6">
      <c r="A301" s="47"/>
      <c r="B301" s="47"/>
      <c r="C301" s="103"/>
      <c r="D301" s="103"/>
      <c r="E301" s="103"/>
      <c r="F301" s="103"/>
      <c r="G301" s="103"/>
      <c r="H301" s="103"/>
      <c r="I301" s="103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47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5.6">
      <c r="A302" s="47"/>
      <c r="B302" s="47"/>
      <c r="C302" s="103"/>
      <c r="D302" s="103"/>
      <c r="E302" s="103"/>
      <c r="F302" s="103"/>
      <c r="G302" s="103"/>
      <c r="H302" s="103"/>
      <c r="I302" s="103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47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5.6">
      <c r="A303" s="47"/>
      <c r="B303" s="47"/>
      <c r="C303" s="103"/>
      <c r="D303" s="103"/>
      <c r="E303" s="103"/>
      <c r="F303" s="103"/>
      <c r="G303" s="103"/>
      <c r="H303" s="103"/>
      <c r="I303" s="103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47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5.6">
      <c r="A304" s="47"/>
      <c r="B304" s="47"/>
      <c r="C304" s="103"/>
      <c r="D304" s="103"/>
      <c r="E304" s="103"/>
      <c r="F304" s="103"/>
      <c r="G304" s="103"/>
      <c r="H304" s="103"/>
      <c r="I304" s="103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47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5.6">
      <c r="A305" s="47"/>
      <c r="B305" s="47"/>
      <c r="C305" s="103"/>
      <c r="D305" s="103"/>
      <c r="E305" s="103"/>
      <c r="F305" s="103"/>
      <c r="G305" s="103"/>
      <c r="H305" s="103"/>
      <c r="I305" s="103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47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5.6">
      <c r="A306" s="47"/>
      <c r="B306" s="47"/>
      <c r="C306" s="103"/>
      <c r="D306" s="103"/>
      <c r="E306" s="103"/>
      <c r="F306" s="103"/>
      <c r="G306" s="103"/>
      <c r="H306" s="103"/>
      <c r="I306" s="103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47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5.6">
      <c r="A307" s="47"/>
      <c r="B307" s="47"/>
      <c r="C307" s="103"/>
      <c r="D307" s="103"/>
      <c r="E307" s="103"/>
      <c r="F307" s="103"/>
      <c r="G307" s="103"/>
      <c r="H307" s="103"/>
      <c r="I307" s="103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47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5.6">
      <c r="A308" s="47"/>
      <c r="B308" s="47"/>
      <c r="C308" s="103"/>
      <c r="D308" s="103"/>
      <c r="E308" s="103"/>
      <c r="F308" s="103"/>
      <c r="G308" s="103"/>
      <c r="H308" s="103"/>
      <c r="I308" s="103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47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5.6">
      <c r="A309" s="47"/>
      <c r="B309" s="47"/>
      <c r="C309" s="103"/>
      <c r="D309" s="103"/>
      <c r="E309" s="103"/>
      <c r="F309" s="103"/>
      <c r="G309" s="103"/>
      <c r="H309" s="103"/>
      <c r="I309" s="103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47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5.6">
      <c r="A310" s="47"/>
      <c r="B310" s="47"/>
      <c r="C310" s="103"/>
      <c r="D310" s="103"/>
      <c r="E310" s="103"/>
      <c r="F310" s="103"/>
      <c r="G310" s="103"/>
      <c r="H310" s="103"/>
      <c r="I310" s="103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47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5.6">
      <c r="A311" s="47"/>
      <c r="B311" s="47"/>
      <c r="C311" s="103"/>
      <c r="D311" s="103"/>
      <c r="E311" s="103"/>
      <c r="F311" s="103"/>
      <c r="G311" s="103"/>
      <c r="H311" s="103"/>
      <c r="I311" s="103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47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5.6">
      <c r="A312" s="47"/>
      <c r="B312" s="47"/>
      <c r="C312" s="103"/>
      <c r="D312" s="103"/>
      <c r="E312" s="103"/>
      <c r="F312" s="103"/>
      <c r="G312" s="103"/>
      <c r="H312" s="103"/>
      <c r="I312" s="103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47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5.6">
      <c r="A313" s="47"/>
      <c r="B313" s="47"/>
      <c r="C313" s="103"/>
      <c r="D313" s="103"/>
      <c r="E313" s="103"/>
      <c r="F313" s="103"/>
      <c r="G313" s="103"/>
      <c r="H313" s="103"/>
      <c r="I313" s="103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47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5.6">
      <c r="A314" s="47"/>
      <c r="B314" s="47"/>
      <c r="C314" s="103"/>
      <c r="D314" s="103"/>
      <c r="E314" s="103"/>
      <c r="F314" s="103"/>
      <c r="G314" s="103"/>
      <c r="H314" s="103"/>
      <c r="I314" s="103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47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5.6">
      <c r="A315" s="47"/>
      <c r="B315" s="47"/>
      <c r="C315" s="103"/>
      <c r="D315" s="103"/>
      <c r="E315" s="103"/>
      <c r="F315" s="103"/>
      <c r="G315" s="103"/>
      <c r="H315" s="103"/>
      <c r="I315" s="103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47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5.6">
      <c r="A316" s="47"/>
      <c r="B316" s="47"/>
      <c r="C316" s="103"/>
      <c r="D316" s="103"/>
      <c r="E316" s="103"/>
      <c r="F316" s="103"/>
      <c r="G316" s="103"/>
      <c r="H316" s="103"/>
      <c r="I316" s="103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47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5.6">
      <c r="A317" s="47"/>
      <c r="B317" s="47"/>
      <c r="C317" s="103"/>
      <c r="D317" s="103"/>
      <c r="E317" s="103"/>
      <c r="F317" s="103"/>
      <c r="G317" s="103"/>
      <c r="H317" s="103"/>
      <c r="I317" s="103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47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5.6">
      <c r="A318" s="47"/>
      <c r="B318" s="47"/>
      <c r="C318" s="103"/>
      <c r="D318" s="103"/>
      <c r="E318" s="103"/>
      <c r="F318" s="103"/>
      <c r="G318" s="103"/>
      <c r="H318" s="103"/>
      <c r="I318" s="103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47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5.6">
      <c r="A319" s="47"/>
      <c r="B319" s="47"/>
      <c r="C319" s="103"/>
      <c r="D319" s="103"/>
      <c r="E319" s="103"/>
      <c r="F319" s="103"/>
      <c r="G319" s="103"/>
      <c r="H319" s="103"/>
      <c r="I319" s="103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47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5.6">
      <c r="A320" s="47"/>
      <c r="B320" s="47"/>
      <c r="C320" s="103"/>
      <c r="D320" s="103"/>
      <c r="E320" s="103"/>
      <c r="F320" s="103"/>
      <c r="G320" s="103"/>
      <c r="H320" s="103"/>
      <c r="I320" s="103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47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5.6">
      <c r="A321" s="47"/>
      <c r="B321" s="47"/>
      <c r="C321" s="103"/>
      <c r="D321" s="103"/>
      <c r="E321" s="103"/>
      <c r="F321" s="103"/>
      <c r="G321" s="103"/>
      <c r="H321" s="103"/>
      <c r="I321" s="103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47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5.6">
      <c r="A322" s="47"/>
      <c r="B322" s="47"/>
      <c r="C322" s="103"/>
      <c r="D322" s="103"/>
      <c r="E322" s="103"/>
      <c r="F322" s="103"/>
      <c r="G322" s="103"/>
      <c r="H322" s="103"/>
      <c r="I322" s="103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47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5.6">
      <c r="A323" s="47"/>
      <c r="B323" s="47"/>
      <c r="C323" s="103"/>
      <c r="D323" s="103"/>
      <c r="E323" s="103"/>
      <c r="F323" s="103"/>
      <c r="G323" s="103"/>
      <c r="H323" s="103"/>
      <c r="I323" s="103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47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5.6">
      <c r="A324" s="47"/>
      <c r="B324" s="47"/>
      <c r="C324" s="103"/>
      <c r="D324" s="103"/>
      <c r="E324" s="103"/>
      <c r="F324" s="103"/>
      <c r="G324" s="103"/>
      <c r="H324" s="103"/>
      <c r="I324" s="103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47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5.6">
      <c r="A325" s="47"/>
      <c r="B325" s="47"/>
      <c r="C325" s="103"/>
      <c r="D325" s="103"/>
      <c r="E325" s="103"/>
      <c r="F325" s="103"/>
      <c r="G325" s="103"/>
      <c r="H325" s="103"/>
      <c r="I325" s="103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47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5.6">
      <c r="A326" s="47"/>
      <c r="B326" s="47"/>
      <c r="C326" s="103"/>
      <c r="D326" s="103"/>
      <c r="E326" s="103"/>
      <c r="F326" s="103"/>
      <c r="G326" s="103"/>
      <c r="H326" s="103"/>
      <c r="I326" s="103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47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5.6">
      <c r="A327" s="47"/>
      <c r="B327" s="47"/>
      <c r="C327" s="103"/>
      <c r="D327" s="103"/>
      <c r="E327" s="103"/>
      <c r="F327" s="103"/>
      <c r="G327" s="103"/>
      <c r="H327" s="103"/>
      <c r="I327" s="103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47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5.6">
      <c r="A328" s="47"/>
      <c r="B328" s="47"/>
      <c r="C328" s="103"/>
      <c r="D328" s="103"/>
      <c r="E328" s="103"/>
      <c r="F328" s="103"/>
      <c r="G328" s="103"/>
      <c r="H328" s="103"/>
      <c r="I328" s="103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47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5.6">
      <c r="A329" s="47"/>
      <c r="B329" s="47"/>
      <c r="C329" s="103"/>
      <c r="D329" s="103"/>
      <c r="E329" s="103"/>
      <c r="F329" s="103"/>
      <c r="G329" s="103"/>
      <c r="H329" s="103"/>
      <c r="I329" s="103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47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5.6">
      <c r="A330" s="47"/>
      <c r="B330" s="47"/>
      <c r="C330" s="103"/>
      <c r="D330" s="103"/>
      <c r="E330" s="103"/>
      <c r="F330" s="103"/>
      <c r="G330" s="103"/>
      <c r="H330" s="103"/>
      <c r="I330" s="103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47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5.6">
      <c r="A331" s="47"/>
      <c r="B331" s="47"/>
      <c r="C331" s="103"/>
      <c r="D331" s="103"/>
      <c r="E331" s="103"/>
      <c r="F331" s="103"/>
      <c r="G331" s="103"/>
      <c r="H331" s="103"/>
      <c r="I331" s="103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47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5.6">
      <c r="A332" s="47"/>
      <c r="B332" s="47"/>
      <c r="C332" s="103"/>
      <c r="D332" s="103"/>
      <c r="E332" s="103"/>
      <c r="F332" s="103"/>
      <c r="G332" s="103"/>
      <c r="H332" s="103"/>
      <c r="I332" s="103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47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5.6">
      <c r="A333" s="47"/>
      <c r="B333" s="47"/>
      <c r="C333" s="103"/>
      <c r="D333" s="103"/>
      <c r="E333" s="103"/>
      <c r="F333" s="103"/>
      <c r="G333" s="103"/>
      <c r="H333" s="103"/>
      <c r="I333" s="103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47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5.6">
      <c r="A334" s="47"/>
      <c r="B334" s="47"/>
      <c r="C334" s="103"/>
      <c r="D334" s="103"/>
      <c r="E334" s="103"/>
      <c r="F334" s="103"/>
      <c r="G334" s="103"/>
      <c r="H334" s="103"/>
      <c r="I334" s="103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47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5.6">
      <c r="A335" s="47"/>
      <c r="B335" s="47"/>
      <c r="C335" s="103"/>
      <c r="D335" s="103"/>
      <c r="E335" s="103"/>
      <c r="F335" s="103"/>
      <c r="G335" s="103"/>
      <c r="H335" s="103"/>
      <c r="I335" s="103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47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5.6">
      <c r="A336" s="47"/>
      <c r="B336" s="47"/>
      <c r="C336" s="103"/>
      <c r="D336" s="103"/>
      <c r="E336" s="103"/>
      <c r="F336" s="103"/>
      <c r="G336" s="103"/>
      <c r="H336" s="103"/>
      <c r="I336" s="103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47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5.6">
      <c r="A337" s="47"/>
      <c r="B337" s="47"/>
      <c r="C337" s="103"/>
      <c r="D337" s="103"/>
      <c r="E337" s="103"/>
      <c r="F337" s="103"/>
      <c r="G337" s="103"/>
      <c r="H337" s="103"/>
      <c r="I337" s="103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47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5.6">
      <c r="A338" s="47"/>
      <c r="B338" s="47"/>
      <c r="C338" s="103"/>
      <c r="D338" s="103"/>
      <c r="E338" s="103"/>
      <c r="F338" s="103"/>
      <c r="G338" s="103"/>
      <c r="H338" s="103"/>
      <c r="I338" s="103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47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5.6">
      <c r="A339" s="47"/>
      <c r="B339" s="47"/>
      <c r="C339" s="103"/>
      <c r="D339" s="103"/>
      <c r="E339" s="103"/>
      <c r="F339" s="103"/>
      <c r="G339" s="103"/>
      <c r="H339" s="103"/>
      <c r="I339" s="103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47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5.6">
      <c r="A340" s="47"/>
      <c r="B340" s="47"/>
      <c r="C340" s="103"/>
      <c r="D340" s="103"/>
      <c r="E340" s="103"/>
      <c r="F340" s="103"/>
      <c r="G340" s="103"/>
      <c r="H340" s="103"/>
      <c r="I340" s="103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47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5.6">
      <c r="A341" s="47"/>
      <c r="B341" s="47"/>
      <c r="C341" s="103"/>
      <c r="D341" s="103"/>
      <c r="E341" s="103"/>
      <c r="F341" s="103"/>
      <c r="G341" s="103"/>
      <c r="H341" s="103"/>
      <c r="I341" s="103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47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5.6">
      <c r="A342" s="47"/>
      <c r="B342" s="47"/>
      <c r="C342" s="103"/>
      <c r="D342" s="103"/>
      <c r="E342" s="103"/>
      <c r="F342" s="103"/>
      <c r="G342" s="103"/>
      <c r="H342" s="103"/>
      <c r="I342" s="103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47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5.6">
      <c r="A343" s="47"/>
      <c r="B343" s="47"/>
      <c r="C343" s="103"/>
      <c r="D343" s="103"/>
      <c r="E343" s="103"/>
      <c r="F343" s="103"/>
      <c r="G343" s="103"/>
      <c r="H343" s="103"/>
      <c r="I343" s="103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47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5.6">
      <c r="A344" s="47"/>
      <c r="B344" s="47"/>
      <c r="C344" s="103"/>
      <c r="D344" s="103"/>
      <c r="E344" s="103"/>
      <c r="F344" s="103"/>
      <c r="G344" s="103"/>
      <c r="H344" s="103"/>
      <c r="I344" s="103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47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5.6">
      <c r="A345" s="47"/>
      <c r="B345" s="47"/>
      <c r="C345" s="103"/>
      <c r="D345" s="103"/>
      <c r="E345" s="103"/>
      <c r="F345" s="103"/>
      <c r="G345" s="103"/>
      <c r="H345" s="103"/>
      <c r="I345" s="103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47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5.6">
      <c r="A346" s="47"/>
      <c r="B346" s="47"/>
      <c r="C346" s="103"/>
      <c r="D346" s="103"/>
      <c r="E346" s="103"/>
      <c r="F346" s="103"/>
      <c r="G346" s="103"/>
      <c r="H346" s="103"/>
      <c r="I346" s="103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47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5.6">
      <c r="A347" s="47"/>
      <c r="B347" s="47"/>
      <c r="C347" s="103"/>
      <c r="D347" s="103"/>
      <c r="E347" s="103"/>
      <c r="F347" s="103"/>
      <c r="G347" s="103"/>
      <c r="H347" s="103"/>
      <c r="I347" s="103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47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5.6">
      <c r="A348" s="47"/>
      <c r="B348" s="47"/>
      <c r="C348" s="103"/>
      <c r="D348" s="103"/>
      <c r="E348" s="103"/>
      <c r="F348" s="103"/>
      <c r="G348" s="103"/>
      <c r="H348" s="103"/>
      <c r="I348" s="103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47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5.6">
      <c r="A349" s="47"/>
      <c r="B349" s="47"/>
      <c r="C349" s="103"/>
      <c r="D349" s="103"/>
      <c r="E349" s="103"/>
      <c r="F349" s="103"/>
      <c r="G349" s="103"/>
      <c r="H349" s="103"/>
      <c r="I349" s="103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47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5.6">
      <c r="A350" s="47"/>
      <c r="B350" s="47"/>
      <c r="C350" s="103"/>
      <c r="D350" s="103"/>
      <c r="E350" s="103"/>
      <c r="F350" s="103"/>
      <c r="G350" s="103"/>
      <c r="H350" s="103"/>
      <c r="I350" s="103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47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5.6">
      <c r="A351" s="47"/>
      <c r="B351" s="47"/>
      <c r="C351" s="103"/>
      <c r="D351" s="103"/>
      <c r="E351" s="103"/>
      <c r="F351" s="103"/>
      <c r="G351" s="103"/>
      <c r="H351" s="103"/>
      <c r="I351" s="103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47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5.6">
      <c r="A352" s="47"/>
      <c r="B352" s="47"/>
      <c r="C352" s="103"/>
      <c r="D352" s="103"/>
      <c r="E352" s="103"/>
      <c r="F352" s="103"/>
      <c r="G352" s="103"/>
      <c r="H352" s="103"/>
      <c r="I352" s="103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47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5.6">
      <c r="A353" s="47"/>
      <c r="B353" s="47"/>
      <c r="C353" s="103"/>
      <c r="D353" s="103"/>
      <c r="E353" s="103"/>
      <c r="F353" s="103"/>
      <c r="G353" s="103"/>
      <c r="H353" s="103"/>
      <c r="I353" s="103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47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5.6">
      <c r="A354" s="47"/>
      <c r="B354" s="47"/>
      <c r="C354" s="103"/>
      <c r="D354" s="103"/>
      <c r="E354" s="103"/>
      <c r="F354" s="103"/>
      <c r="G354" s="103"/>
      <c r="H354" s="103"/>
      <c r="I354" s="103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47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5.6">
      <c r="A355" s="47"/>
      <c r="B355" s="47"/>
      <c r="C355" s="103"/>
      <c r="D355" s="103"/>
      <c r="E355" s="103"/>
      <c r="F355" s="103"/>
      <c r="G355" s="103"/>
      <c r="H355" s="103"/>
      <c r="I355" s="103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47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5.6">
      <c r="A356" s="47"/>
      <c r="B356" s="47"/>
      <c r="C356" s="103"/>
      <c r="D356" s="103"/>
      <c r="E356" s="103"/>
      <c r="F356" s="103"/>
      <c r="G356" s="103"/>
      <c r="H356" s="103"/>
      <c r="I356" s="103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47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5.6">
      <c r="A357" s="47"/>
      <c r="B357" s="47"/>
      <c r="C357" s="103"/>
      <c r="D357" s="103"/>
      <c r="E357" s="103"/>
      <c r="F357" s="103"/>
      <c r="G357" s="103"/>
      <c r="H357" s="103"/>
      <c r="I357" s="103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47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5.6">
      <c r="A358" s="47"/>
      <c r="B358" s="47"/>
      <c r="C358" s="103"/>
      <c r="D358" s="103"/>
      <c r="E358" s="103"/>
      <c r="F358" s="103"/>
      <c r="G358" s="103"/>
      <c r="H358" s="103"/>
      <c r="I358" s="103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47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5.6">
      <c r="A359" s="47"/>
      <c r="B359" s="47"/>
      <c r="C359" s="103"/>
      <c r="D359" s="103"/>
      <c r="E359" s="103"/>
      <c r="F359" s="103"/>
      <c r="G359" s="103"/>
      <c r="H359" s="103"/>
      <c r="I359" s="103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47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5.6">
      <c r="A360" s="47"/>
      <c r="B360" s="47"/>
      <c r="C360" s="103"/>
      <c r="D360" s="103"/>
      <c r="E360" s="103"/>
      <c r="F360" s="103"/>
      <c r="G360" s="103"/>
      <c r="H360" s="103"/>
      <c r="I360" s="103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47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5.6">
      <c r="A361" s="47"/>
      <c r="B361" s="47"/>
      <c r="C361" s="103"/>
      <c r="D361" s="103"/>
      <c r="E361" s="103"/>
      <c r="F361" s="103"/>
      <c r="G361" s="103"/>
      <c r="H361" s="103"/>
      <c r="I361" s="103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47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5.6">
      <c r="A362" s="47"/>
      <c r="B362" s="47"/>
      <c r="C362" s="103"/>
      <c r="D362" s="103"/>
      <c r="E362" s="103"/>
      <c r="F362" s="103"/>
      <c r="G362" s="103"/>
      <c r="H362" s="103"/>
      <c r="I362" s="103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47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5.6">
      <c r="A363" s="47"/>
      <c r="B363" s="47"/>
      <c r="C363" s="103"/>
      <c r="D363" s="103"/>
      <c r="E363" s="103"/>
      <c r="F363" s="103"/>
      <c r="G363" s="103"/>
      <c r="H363" s="103"/>
      <c r="I363" s="103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47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5.6">
      <c r="A364" s="47"/>
      <c r="B364" s="47"/>
      <c r="C364" s="103"/>
      <c r="D364" s="103"/>
      <c r="E364" s="103"/>
      <c r="F364" s="103"/>
      <c r="G364" s="103"/>
      <c r="H364" s="103"/>
      <c r="I364" s="103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47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5.6">
      <c r="A365" s="47"/>
      <c r="B365" s="47"/>
      <c r="C365" s="103"/>
      <c r="D365" s="103"/>
      <c r="E365" s="103"/>
      <c r="F365" s="103"/>
      <c r="G365" s="103"/>
      <c r="H365" s="103"/>
      <c r="I365" s="103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47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5.6">
      <c r="A366" s="47"/>
      <c r="B366" s="47"/>
      <c r="C366" s="103"/>
      <c r="D366" s="103"/>
      <c r="E366" s="103"/>
      <c r="F366" s="103"/>
      <c r="G366" s="103"/>
      <c r="H366" s="103"/>
      <c r="I366" s="103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47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5.6">
      <c r="A367" s="47"/>
      <c r="B367" s="47"/>
      <c r="C367" s="103"/>
      <c r="D367" s="103"/>
      <c r="E367" s="103"/>
      <c r="F367" s="103"/>
      <c r="G367" s="103"/>
      <c r="H367" s="103"/>
      <c r="I367" s="103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47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5.6">
      <c r="A368" s="47"/>
      <c r="B368" s="47"/>
      <c r="C368" s="103"/>
      <c r="D368" s="103"/>
      <c r="E368" s="103"/>
      <c r="F368" s="103"/>
      <c r="G368" s="103"/>
      <c r="H368" s="103"/>
      <c r="I368" s="103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47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5.6">
      <c r="A369" s="47"/>
      <c r="B369" s="47"/>
      <c r="C369" s="103"/>
      <c r="D369" s="103"/>
      <c r="E369" s="103"/>
      <c r="F369" s="103"/>
      <c r="G369" s="103"/>
      <c r="H369" s="103"/>
      <c r="I369" s="103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47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5.6">
      <c r="A370" s="47"/>
      <c r="B370" s="47"/>
      <c r="C370" s="103"/>
      <c r="D370" s="103"/>
      <c r="E370" s="103"/>
      <c r="F370" s="103"/>
      <c r="G370" s="103"/>
      <c r="H370" s="103"/>
      <c r="I370" s="103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47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5.6">
      <c r="A371" s="47"/>
      <c r="B371" s="47"/>
      <c r="C371" s="103"/>
      <c r="D371" s="103"/>
      <c r="E371" s="103"/>
      <c r="F371" s="103"/>
      <c r="G371" s="103"/>
      <c r="H371" s="103"/>
      <c r="I371" s="103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47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5.6">
      <c r="A372" s="47"/>
      <c r="B372" s="47"/>
      <c r="C372" s="103"/>
      <c r="D372" s="103"/>
      <c r="E372" s="103"/>
      <c r="F372" s="103"/>
      <c r="G372" s="103"/>
      <c r="H372" s="103"/>
      <c r="I372" s="103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47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5.6">
      <c r="A373" s="47"/>
      <c r="B373" s="47"/>
      <c r="C373" s="103"/>
      <c r="D373" s="103"/>
      <c r="E373" s="103"/>
      <c r="F373" s="103"/>
      <c r="G373" s="103"/>
      <c r="H373" s="103"/>
      <c r="I373" s="103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47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5.6">
      <c r="A374" s="47"/>
      <c r="B374" s="47"/>
      <c r="C374" s="103"/>
      <c r="D374" s="103"/>
      <c r="E374" s="103"/>
      <c r="F374" s="103"/>
      <c r="G374" s="103"/>
      <c r="H374" s="103"/>
      <c r="I374" s="103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47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5.6">
      <c r="A375" s="47"/>
      <c r="B375" s="47"/>
      <c r="C375" s="103"/>
      <c r="D375" s="103"/>
      <c r="E375" s="103"/>
      <c r="F375" s="103"/>
      <c r="G375" s="103"/>
      <c r="H375" s="103"/>
      <c r="I375" s="103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47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5.6">
      <c r="A376" s="47"/>
      <c r="B376" s="47"/>
      <c r="C376" s="103"/>
      <c r="D376" s="103"/>
      <c r="E376" s="103"/>
      <c r="F376" s="103"/>
      <c r="G376" s="103"/>
      <c r="H376" s="103"/>
      <c r="I376" s="103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47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5.6">
      <c r="A377" s="47"/>
      <c r="B377" s="47"/>
      <c r="C377" s="103"/>
      <c r="D377" s="103"/>
      <c r="E377" s="103"/>
      <c r="F377" s="103"/>
      <c r="G377" s="103"/>
      <c r="H377" s="103"/>
      <c r="I377" s="103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47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5.6">
      <c r="A378" s="47"/>
      <c r="B378" s="47"/>
      <c r="C378" s="103"/>
      <c r="D378" s="103"/>
      <c r="E378" s="103"/>
      <c r="F378" s="103"/>
      <c r="G378" s="103"/>
      <c r="H378" s="103"/>
      <c r="I378" s="103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47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5.6">
      <c r="A379" s="47"/>
      <c r="B379" s="47"/>
      <c r="C379" s="103"/>
      <c r="D379" s="103"/>
      <c r="E379" s="103"/>
      <c r="F379" s="103"/>
      <c r="G379" s="103"/>
      <c r="H379" s="103"/>
      <c r="I379" s="103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47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5.6">
      <c r="A380" s="47"/>
      <c r="B380" s="47"/>
      <c r="C380" s="103"/>
      <c r="D380" s="103"/>
      <c r="E380" s="103"/>
      <c r="F380" s="103"/>
      <c r="G380" s="103"/>
      <c r="H380" s="103"/>
      <c r="I380" s="103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47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5.6">
      <c r="A381" s="47"/>
      <c r="B381" s="47"/>
      <c r="C381" s="103"/>
      <c r="D381" s="103"/>
      <c r="E381" s="103"/>
      <c r="F381" s="103"/>
      <c r="G381" s="103"/>
      <c r="H381" s="103"/>
      <c r="I381" s="103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47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5.6">
      <c r="A382" s="47"/>
      <c r="B382" s="47"/>
      <c r="C382" s="103"/>
      <c r="D382" s="103"/>
      <c r="E382" s="103"/>
      <c r="F382" s="103"/>
      <c r="G382" s="103"/>
      <c r="H382" s="103"/>
      <c r="I382" s="103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47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5.6">
      <c r="A383" s="47"/>
      <c r="B383" s="47"/>
      <c r="C383" s="103"/>
      <c r="D383" s="103"/>
      <c r="E383" s="103"/>
      <c r="F383" s="103"/>
      <c r="G383" s="103"/>
      <c r="H383" s="103"/>
      <c r="I383" s="103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47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5.6">
      <c r="A384" s="47"/>
      <c r="B384" s="47"/>
      <c r="C384" s="103"/>
      <c r="D384" s="103"/>
      <c r="E384" s="103"/>
      <c r="F384" s="103"/>
      <c r="G384" s="103"/>
      <c r="H384" s="103"/>
      <c r="I384" s="103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47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5.6">
      <c r="A385" s="47"/>
      <c r="B385" s="47"/>
      <c r="C385" s="103"/>
      <c r="D385" s="103"/>
      <c r="E385" s="103"/>
      <c r="F385" s="103"/>
      <c r="G385" s="103"/>
      <c r="H385" s="103"/>
      <c r="I385" s="103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47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5.6">
      <c r="A386" s="47"/>
      <c r="B386" s="47"/>
      <c r="C386" s="103"/>
      <c r="D386" s="103"/>
      <c r="E386" s="103"/>
      <c r="F386" s="103"/>
      <c r="G386" s="103"/>
      <c r="H386" s="103"/>
      <c r="I386" s="103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47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5.6">
      <c r="A387" s="47"/>
      <c r="B387" s="47"/>
      <c r="C387" s="103"/>
      <c r="D387" s="103"/>
      <c r="E387" s="103"/>
      <c r="F387" s="103"/>
      <c r="G387" s="103"/>
      <c r="H387" s="103"/>
      <c r="I387" s="103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47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5.6">
      <c r="A388" s="47"/>
      <c r="B388" s="47"/>
      <c r="C388" s="103"/>
      <c r="D388" s="103"/>
      <c r="E388" s="103"/>
      <c r="F388" s="103"/>
      <c r="G388" s="103"/>
      <c r="H388" s="103"/>
      <c r="I388" s="103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47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5.6">
      <c r="A389" s="47"/>
      <c r="B389" s="47"/>
      <c r="C389" s="103"/>
      <c r="D389" s="103"/>
      <c r="E389" s="103"/>
      <c r="F389" s="103"/>
      <c r="G389" s="103"/>
      <c r="H389" s="103"/>
      <c r="I389" s="103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47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5.6">
      <c r="A390" s="47"/>
      <c r="B390" s="47"/>
      <c r="C390" s="103"/>
      <c r="D390" s="103"/>
      <c r="E390" s="103"/>
      <c r="F390" s="103"/>
      <c r="G390" s="103"/>
      <c r="H390" s="103"/>
      <c r="I390" s="103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47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5.6">
      <c r="A391" s="47"/>
      <c r="B391" s="47"/>
      <c r="C391" s="103"/>
      <c r="D391" s="103"/>
      <c r="E391" s="103"/>
      <c r="F391" s="103"/>
      <c r="G391" s="103"/>
      <c r="H391" s="103"/>
      <c r="I391" s="103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47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5.6">
      <c r="A392" s="47"/>
      <c r="B392" s="47"/>
      <c r="C392" s="103"/>
      <c r="D392" s="103"/>
      <c r="E392" s="103"/>
      <c r="F392" s="103"/>
      <c r="G392" s="103"/>
      <c r="H392" s="103"/>
      <c r="I392" s="103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47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5.6">
      <c r="A393" s="47"/>
      <c r="B393" s="47"/>
      <c r="C393" s="103"/>
      <c r="D393" s="103"/>
      <c r="E393" s="103"/>
      <c r="F393" s="103"/>
      <c r="G393" s="103"/>
      <c r="H393" s="103"/>
      <c r="I393" s="103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47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5.6">
      <c r="A394" s="47"/>
      <c r="B394" s="47"/>
      <c r="C394" s="103"/>
      <c r="D394" s="103"/>
      <c r="E394" s="103"/>
      <c r="F394" s="103"/>
      <c r="G394" s="103"/>
      <c r="H394" s="103"/>
      <c r="I394" s="103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47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5.6">
      <c r="A395" s="47"/>
      <c r="B395" s="47"/>
      <c r="C395" s="103"/>
      <c r="D395" s="103"/>
      <c r="E395" s="103"/>
      <c r="F395" s="103"/>
      <c r="G395" s="103"/>
      <c r="H395" s="103"/>
      <c r="I395" s="103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47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5.6">
      <c r="A396" s="47"/>
      <c r="B396" s="47"/>
      <c r="C396" s="103"/>
      <c r="D396" s="103"/>
      <c r="E396" s="103"/>
      <c r="F396" s="103"/>
      <c r="G396" s="103"/>
      <c r="H396" s="103"/>
      <c r="I396" s="103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47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5.6">
      <c r="A397" s="47"/>
      <c r="B397" s="47"/>
      <c r="C397" s="103"/>
      <c r="D397" s="103"/>
      <c r="E397" s="103"/>
      <c r="F397" s="103"/>
      <c r="G397" s="103"/>
      <c r="H397" s="103"/>
      <c r="I397" s="103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47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5.6">
      <c r="A398" s="47"/>
      <c r="B398" s="47"/>
      <c r="C398" s="103"/>
      <c r="D398" s="103"/>
      <c r="E398" s="103"/>
      <c r="F398" s="103"/>
      <c r="G398" s="103"/>
      <c r="H398" s="103"/>
      <c r="I398" s="103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47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5.6">
      <c r="A399" s="47"/>
      <c r="B399" s="47"/>
      <c r="C399" s="103"/>
      <c r="D399" s="103"/>
      <c r="E399" s="103"/>
      <c r="F399" s="103"/>
      <c r="G399" s="103"/>
      <c r="H399" s="103"/>
      <c r="I399" s="103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47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5.6">
      <c r="A400" s="47"/>
      <c r="B400" s="47"/>
      <c r="C400" s="103"/>
      <c r="D400" s="103"/>
      <c r="E400" s="103"/>
      <c r="F400" s="103"/>
      <c r="G400" s="103"/>
      <c r="H400" s="103"/>
      <c r="I400" s="103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47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5.6">
      <c r="A401" s="47"/>
      <c r="B401" s="47"/>
      <c r="C401" s="103"/>
      <c r="D401" s="103"/>
      <c r="E401" s="103"/>
      <c r="F401" s="103"/>
      <c r="G401" s="103"/>
      <c r="H401" s="103"/>
      <c r="I401" s="103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47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5.6">
      <c r="A402" s="47"/>
      <c r="B402" s="47"/>
      <c r="C402" s="103"/>
      <c r="D402" s="103"/>
      <c r="E402" s="103"/>
      <c r="F402" s="103"/>
      <c r="G402" s="103"/>
      <c r="H402" s="103"/>
      <c r="I402" s="103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47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5.6">
      <c r="A403" s="47"/>
      <c r="B403" s="47"/>
      <c r="C403" s="103"/>
      <c r="D403" s="103"/>
      <c r="E403" s="103"/>
      <c r="F403" s="103"/>
      <c r="G403" s="103"/>
      <c r="H403" s="103"/>
      <c r="I403" s="103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47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5.6">
      <c r="A404" s="47"/>
      <c r="B404" s="47"/>
      <c r="C404" s="103"/>
      <c r="D404" s="103"/>
      <c r="E404" s="103"/>
      <c r="F404" s="103"/>
      <c r="G404" s="103"/>
      <c r="H404" s="103"/>
      <c r="I404" s="103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47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5.6">
      <c r="A405" s="47"/>
      <c r="B405" s="47"/>
      <c r="C405" s="103"/>
      <c r="D405" s="103"/>
      <c r="E405" s="103"/>
      <c r="F405" s="103"/>
      <c r="G405" s="103"/>
      <c r="H405" s="103"/>
      <c r="I405" s="103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47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5.6">
      <c r="A406" s="47"/>
      <c r="B406" s="47"/>
      <c r="C406" s="103"/>
      <c r="D406" s="103"/>
      <c r="E406" s="103"/>
      <c r="F406" s="103"/>
      <c r="G406" s="103"/>
      <c r="H406" s="103"/>
      <c r="I406" s="103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47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5.6">
      <c r="A407" s="47"/>
      <c r="B407" s="47"/>
      <c r="C407" s="103"/>
      <c r="D407" s="103"/>
      <c r="E407" s="103"/>
      <c r="F407" s="103"/>
      <c r="G407" s="103"/>
      <c r="H407" s="103"/>
      <c r="I407" s="103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47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5.6">
      <c r="A408" s="47"/>
      <c r="B408" s="47"/>
      <c r="C408" s="103"/>
      <c r="D408" s="103"/>
      <c r="E408" s="103"/>
      <c r="F408" s="103"/>
      <c r="G408" s="103"/>
      <c r="H408" s="103"/>
      <c r="I408" s="103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47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5.6">
      <c r="A409" s="47"/>
      <c r="B409" s="47"/>
      <c r="C409" s="103"/>
      <c r="D409" s="103"/>
      <c r="E409" s="103"/>
      <c r="F409" s="103"/>
      <c r="G409" s="103"/>
      <c r="H409" s="103"/>
      <c r="I409" s="103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47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5.6">
      <c r="A410" s="47"/>
      <c r="B410" s="47"/>
      <c r="C410" s="103"/>
      <c r="D410" s="103"/>
      <c r="E410" s="103"/>
      <c r="F410" s="103"/>
      <c r="G410" s="103"/>
      <c r="H410" s="103"/>
      <c r="I410" s="103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47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5.6">
      <c r="A411" s="47"/>
      <c r="B411" s="47"/>
      <c r="C411" s="103"/>
      <c r="D411" s="103"/>
      <c r="E411" s="103"/>
      <c r="F411" s="103"/>
      <c r="G411" s="103"/>
      <c r="H411" s="103"/>
      <c r="I411" s="103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47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5.6">
      <c r="A412" s="47"/>
      <c r="B412" s="47"/>
      <c r="C412" s="103"/>
      <c r="D412" s="103"/>
      <c r="E412" s="103"/>
      <c r="F412" s="103"/>
      <c r="G412" s="103"/>
      <c r="H412" s="103"/>
      <c r="I412" s="103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47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5.6">
      <c r="A413" s="47"/>
      <c r="B413" s="47"/>
      <c r="C413" s="103"/>
      <c r="D413" s="103"/>
      <c r="E413" s="103"/>
      <c r="F413" s="103"/>
      <c r="G413" s="103"/>
      <c r="H413" s="103"/>
      <c r="I413" s="103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47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5.6">
      <c r="A414" s="47"/>
      <c r="B414" s="47"/>
      <c r="C414" s="103"/>
      <c r="D414" s="103"/>
      <c r="E414" s="103"/>
      <c r="F414" s="103"/>
      <c r="G414" s="103"/>
      <c r="H414" s="103"/>
      <c r="I414" s="103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47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5.6">
      <c r="A415" s="47"/>
      <c r="B415" s="47"/>
      <c r="C415" s="103"/>
      <c r="D415" s="103"/>
      <c r="E415" s="103"/>
      <c r="F415" s="103"/>
      <c r="G415" s="103"/>
      <c r="H415" s="103"/>
      <c r="I415" s="103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47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5.6">
      <c r="A416" s="47"/>
      <c r="B416" s="47"/>
      <c r="C416" s="103"/>
      <c r="D416" s="103"/>
      <c r="E416" s="103"/>
      <c r="F416" s="103"/>
      <c r="G416" s="103"/>
      <c r="H416" s="103"/>
      <c r="I416" s="103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47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5.6">
      <c r="A417" s="47"/>
      <c r="B417" s="47"/>
      <c r="C417" s="103"/>
      <c r="D417" s="103"/>
      <c r="E417" s="103"/>
      <c r="F417" s="103"/>
      <c r="G417" s="103"/>
      <c r="H417" s="103"/>
      <c r="I417" s="103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47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5.6">
      <c r="A418" s="47"/>
      <c r="B418" s="47"/>
      <c r="C418" s="103"/>
      <c r="D418" s="103"/>
      <c r="E418" s="103"/>
      <c r="F418" s="103"/>
      <c r="G418" s="103"/>
      <c r="H418" s="103"/>
      <c r="I418" s="103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47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5.6">
      <c r="A419" s="47"/>
      <c r="B419" s="47"/>
      <c r="C419" s="103"/>
      <c r="D419" s="103"/>
      <c r="E419" s="103"/>
      <c r="F419" s="103"/>
      <c r="G419" s="103"/>
      <c r="H419" s="103"/>
      <c r="I419" s="103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47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5.6">
      <c r="A420" s="47"/>
      <c r="B420" s="47"/>
      <c r="C420" s="103"/>
      <c r="D420" s="103"/>
      <c r="E420" s="103"/>
      <c r="F420" s="103"/>
      <c r="G420" s="103"/>
      <c r="H420" s="103"/>
      <c r="I420" s="103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47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5.6">
      <c r="A421" s="47"/>
      <c r="B421" s="47"/>
      <c r="C421" s="103"/>
      <c r="D421" s="103"/>
      <c r="E421" s="103"/>
      <c r="F421" s="103"/>
      <c r="G421" s="103"/>
      <c r="H421" s="103"/>
      <c r="I421" s="103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47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5.6">
      <c r="A422" s="47"/>
      <c r="B422" s="47"/>
      <c r="C422" s="103"/>
      <c r="D422" s="103"/>
      <c r="E422" s="103"/>
      <c r="F422" s="103"/>
      <c r="G422" s="103"/>
      <c r="H422" s="103"/>
      <c r="I422" s="103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47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5.6">
      <c r="A423" s="47"/>
      <c r="B423" s="47"/>
      <c r="C423" s="103"/>
      <c r="D423" s="103"/>
      <c r="E423" s="103"/>
      <c r="F423" s="103"/>
      <c r="G423" s="103"/>
      <c r="H423" s="103"/>
      <c r="I423" s="103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47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5.6">
      <c r="A424" s="47"/>
      <c r="B424" s="47"/>
      <c r="C424" s="103"/>
      <c r="D424" s="103"/>
      <c r="E424" s="103"/>
      <c r="F424" s="103"/>
      <c r="G424" s="103"/>
      <c r="H424" s="103"/>
      <c r="I424" s="103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47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5.6">
      <c r="A425" s="47"/>
      <c r="B425" s="47"/>
      <c r="C425" s="103"/>
      <c r="D425" s="103"/>
      <c r="E425" s="103"/>
      <c r="F425" s="103"/>
      <c r="G425" s="103"/>
      <c r="H425" s="103"/>
      <c r="I425" s="103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47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5.6">
      <c r="A426" s="47"/>
      <c r="B426" s="47"/>
      <c r="C426" s="103"/>
      <c r="D426" s="103"/>
      <c r="E426" s="103"/>
      <c r="F426" s="103"/>
      <c r="G426" s="103"/>
      <c r="H426" s="103"/>
      <c r="I426" s="103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47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5.6">
      <c r="A427" s="47"/>
      <c r="B427" s="47"/>
      <c r="C427" s="103"/>
      <c r="D427" s="103"/>
      <c r="E427" s="103"/>
      <c r="F427" s="103"/>
      <c r="G427" s="103"/>
      <c r="H427" s="103"/>
      <c r="I427" s="103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47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5.6">
      <c r="A428" s="47"/>
      <c r="B428" s="47"/>
      <c r="C428" s="103"/>
      <c r="D428" s="103"/>
      <c r="E428" s="103"/>
      <c r="F428" s="103"/>
      <c r="G428" s="103"/>
      <c r="H428" s="103"/>
      <c r="I428" s="103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47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5.6">
      <c r="A429" s="47"/>
      <c r="B429" s="47"/>
      <c r="C429" s="103"/>
      <c r="D429" s="103"/>
      <c r="E429" s="103"/>
      <c r="F429" s="103"/>
      <c r="G429" s="103"/>
      <c r="H429" s="103"/>
      <c r="I429" s="103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47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5.6">
      <c r="A430" s="47"/>
      <c r="B430" s="47"/>
      <c r="C430" s="103"/>
      <c r="D430" s="103"/>
      <c r="E430" s="103"/>
      <c r="F430" s="103"/>
      <c r="G430" s="103"/>
      <c r="H430" s="103"/>
      <c r="I430" s="103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47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5.6">
      <c r="A431" s="47"/>
      <c r="B431" s="47"/>
      <c r="C431" s="103"/>
      <c r="D431" s="103"/>
      <c r="E431" s="103"/>
      <c r="F431" s="103"/>
      <c r="G431" s="103"/>
      <c r="H431" s="103"/>
      <c r="I431" s="103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47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5.6">
      <c r="A432" s="47"/>
      <c r="B432" s="47"/>
      <c r="C432" s="103"/>
      <c r="D432" s="103"/>
      <c r="E432" s="103"/>
      <c r="F432" s="103"/>
      <c r="G432" s="103"/>
      <c r="H432" s="103"/>
      <c r="I432" s="103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47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5.6">
      <c r="A433" s="47"/>
      <c r="B433" s="47"/>
      <c r="C433" s="103"/>
      <c r="D433" s="103"/>
      <c r="E433" s="103"/>
      <c r="F433" s="103"/>
      <c r="G433" s="103"/>
      <c r="H433" s="103"/>
      <c r="I433" s="103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47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5.6">
      <c r="A434" s="47"/>
      <c r="B434" s="47"/>
      <c r="C434" s="103"/>
      <c r="D434" s="103"/>
      <c r="E434" s="103"/>
      <c r="F434" s="103"/>
      <c r="G434" s="103"/>
      <c r="H434" s="103"/>
      <c r="I434" s="103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47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5.6">
      <c r="A435" s="47"/>
      <c r="B435" s="47"/>
      <c r="C435" s="103"/>
      <c r="D435" s="103"/>
      <c r="E435" s="103"/>
      <c r="F435" s="103"/>
      <c r="G435" s="103"/>
      <c r="H435" s="103"/>
      <c r="I435" s="103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47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5.6">
      <c r="A436" s="47"/>
      <c r="B436" s="47"/>
      <c r="C436" s="103"/>
      <c r="D436" s="103"/>
      <c r="E436" s="103"/>
      <c r="F436" s="103"/>
      <c r="G436" s="103"/>
      <c r="H436" s="103"/>
      <c r="I436" s="103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47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5.6">
      <c r="A437" s="47"/>
      <c r="B437" s="47"/>
      <c r="C437" s="103"/>
      <c r="D437" s="103"/>
      <c r="E437" s="103"/>
      <c r="F437" s="103"/>
      <c r="G437" s="103"/>
      <c r="H437" s="103"/>
      <c r="I437" s="103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47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5.6">
      <c r="A438" s="47"/>
      <c r="B438" s="47"/>
      <c r="C438" s="103"/>
      <c r="D438" s="103"/>
      <c r="E438" s="103"/>
      <c r="F438" s="103"/>
      <c r="G438" s="103"/>
      <c r="H438" s="103"/>
      <c r="I438" s="103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47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5.6">
      <c r="A439" s="47"/>
      <c r="B439" s="47"/>
      <c r="C439" s="103"/>
      <c r="D439" s="103"/>
      <c r="E439" s="103"/>
      <c r="F439" s="103"/>
      <c r="G439" s="103"/>
      <c r="H439" s="103"/>
      <c r="I439" s="103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47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5.6">
      <c r="A440" s="47"/>
      <c r="B440" s="47"/>
      <c r="C440" s="103"/>
      <c r="D440" s="103"/>
      <c r="E440" s="103"/>
      <c r="F440" s="103"/>
      <c r="G440" s="103"/>
      <c r="H440" s="103"/>
      <c r="I440" s="103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47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5.6">
      <c r="A441" s="47"/>
      <c r="B441" s="47"/>
      <c r="C441" s="103"/>
      <c r="D441" s="103"/>
      <c r="E441" s="103"/>
      <c r="F441" s="103"/>
      <c r="G441" s="103"/>
      <c r="H441" s="103"/>
      <c r="I441" s="103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47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5.6">
      <c r="A442" s="47"/>
      <c r="B442" s="47"/>
      <c r="C442" s="103"/>
      <c r="D442" s="103"/>
      <c r="E442" s="103"/>
      <c r="F442" s="103"/>
      <c r="G442" s="103"/>
      <c r="H442" s="103"/>
      <c r="I442" s="103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47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5.6">
      <c r="A443" s="47"/>
      <c r="B443" s="47"/>
      <c r="C443" s="103"/>
      <c r="D443" s="103"/>
      <c r="E443" s="103"/>
      <c r="F443" s="103"/>
      <c r="G443" s="103"/>
      <c r="H443" s="103"/>
      <c r="I443" s="103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47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5.6">
      <c r="A444" s="47"/>
      <c r="B444" s="47"/>
      <c r="C444" s="103"/>
      <c r="D444" s="103"/>
      <c r="E444" s="103"/>
      <c r="F444" s="103"/>
      <c r="G444" s="103"/>
      <c r="H444" s="103"/>
      <c r="I444" s="103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47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5.6">
      <c r="A445" s="47"/>
      <c r="B445" s="47"/>
      <c r="C445" s="103"/>
      <c r="D445" s="103"/>
      <c r="E445" s="103"/>
      <c r="F445" s="103"/>
      <c r="G445" s="103"/>
      <c r="H445" s="103"/>
      <c r="I445" s="103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47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5.6">
      <c r="A446" s="47"/>
      <c r="B446" s="47"/>
      <c r="C446" s="103"/>
      <c r="D446" s="103"/>
      <c r="E446" s="103"/>
      <c r="F446" s="103"/>
      <c r="G446" s="103"/>
      <c r="H446" s="103"/>
      <c r="I446" s="103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47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5.6">
      <c r="A447" s="47"/>
      <c r="B447" s="47"/>
      <c r="C447" s="103"/>
      <c r="D447" s="103"/>
      <c r="E447" s="103"/>
      <c r="F447" s="103"/>
      <c r="G447" s="103"/>
      <c r="H447" s="103"/>
      <c r="I447" s="103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47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5.6">
      <c r="A448" s="47"/>
      <c r="B448" s="47"/>
      <c r="C448" s="103"/>
      <c r="D448" s="103"/>
      <c r="E448" s="103"/>
      <c r="F448" s="103"/>
      <c r="G448" s="103"/>
      <c r="H448" s="103"/>
      <c r="I448" s="103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47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5.6">
      <c r="A449" s="47"/>
      <c r="B449" s="47"/>
      <c r="C449" s="103"/>
      <c r="D449" s="103"/>
      <c r="E449" s="103"/>
      <c r="F449" s="103"/>
      <c r="G449" s="103"/>
      <c r="H449" s="103"/>
      <c r="I449" s="103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47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5.6">
      <c r="A450" s="47"/>
      <c r="B450" s="47"/>
      <c r="C450" s="103"/>
      <c r="D450" s="103"/>
      <c r="E450" s="103"/>
      <c r="F450" s="103"/>
      <c r="G450" s="103"/>
      <c r="H450" s="103"/>
      <c r="I450" s="103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47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5.6">
      <c r="A451" s="47"/>
      <c r="B451" s="47"/>
      <c r="C451" s="103"/>
      <c r="D451" s="103"/>
      <c r="E451" s="103"/>
      <c r="F451" s="103"/>
      <c r="G451" s="103"/>
      <c r="H451" s="103"/>
      <c r="I451" s="103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47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5.6">
      <c r="A452" s="47"/>
      <c r="B452" s="47"/>
      <c r="C452" s="103"/>
      <c r="D452" s="103"/>
      <c r="E452" s="103"/>
      <c r="F452" s="103"/>
      <c r="G452" s="103"/>
      <c r="H452" s="103"/>
      <c r="I452" s="103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47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5.6">
      <c r="A453" s="47"/>
      <c r="B453" s="47"/>
      <c r="C453" s="103"/>
      <c r="D453" s="103"/>
      <c r="E453" s="103"/>
      <c r="F453" s="103"/>
      <c r="G453" s="103"/>
      <c r="H453" s="103"/>
      <c r="I453" s="103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47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5.6">
      <c r="A454" s="47"/>
      <c r="B454" s="47"/>
      <c r="C454" s="103"/>
      <c r="D454" s="103"/>
      <c r="E454" s="103"/>
      <c r="F454" s="103"/>
      <c r="G454" s="103"/>
      <c r="H454" s="103"/>
      <c r="I454" s="103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47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5.6">
      <c r="A455" s="47"/>
      <c r="B455" s="47"/>
      <c r="C455" s="103"/>
      <c r="D455" s="103"/>
      <c r="E455" s="103"/>
      <c r="F455" s="103"/>
      <c r="G455" s="103"/>
      <c r="H455" s="103"/>
      <c r="I455" s="103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47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5.6">
      <c r="A456" s="47"/>
      <c r="B456" s="47"/>
      <c r="C456" s="103"/>
      <c r="D456" s="103"/>
      <c r="E456" s="103"/>
      <c r="F456" s="103"/>
      <c r="G456" s="103"/>
      <c r="H456" s="103"/>
      <c r="I456" s="103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47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5.6">
      <c r="A457" s="47"/>
      <c r="B457" s="47"/>
      <c r="C457" s="103"/>
      <c r="D457" s="103"/>
      <c r="E457" s="103"/>
      <c r="F457" s="103"/>
      <c r="G457" s="103"/>
      <c r="H457" s="103"/>
      <c r="I457" s="103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47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5.6">
      <c r="A458" s="47"/>
      <c r="B458" s="47"/>
      <c r="C458" s="103"/>
      <c r="D458" s="103"/>
      <c r="E458" s="103"/>
      <c r="F458" s="103"/>
      <c r="G458" s="103"/>
      <c r="H458" s="103"/>
      <c r="I458" s="103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47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5.6">
      <c r="A459" s="47"/>
      <c r="B459" s="47"/>
      <c r="C459" s="103"/>
      <c r="D459" s="103"/>
      <c r="E459" s="103"/>
      <c r="F459" s="103"/>
      <c r="G459" s="103"/>
      <c r="H459" s="103"/>
      <c r="I459" s="103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47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5.6">
      <c r="A460" s="47"/>
      <c r="B460" s="47"/>
      <c r="C460" s="103"/>
      <c r="D460" s="103"/>
      <c r="E460" s="103"/>
      <c r="F460" s="103"/>
      <c r="G460" s="103"/>
      <c r="H460" s="103"/>
      <c r="I460" s="103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47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5.6">
      <c r="A461" s="47"/>
      <c r="B461" s="47"/>
      <c r="C461" s="103"/>
      <c r="D461" s="103"/>
      <c r="E461" s="103"/>
      <c r="F461" s="103"/>
      <c r="G461" s="103"/>
      <c r="H461" s="103"/>
      <c r="I461" s="103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47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5.6">
      <c r="A462" s="47"/>
      <c r="B462" s="47"/>
      <c r="C462" s="103"/>
      <c r="D462" s="103"/>
      <c r="E462" s="103"/>
      <c r="F462" s="103"/>
      <c r="G462" s="103"/>
      <c r="H462" s="103"/>
      <c r="I462" s="103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47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5.6">
      <c r="A463" s="47"/>
      <c r="B463" s="47"/>
      <c r="C463" s="103"/>
      <c r="D463" s="103"/>
      <c r="E463" s="103"/>
      <c r="F463" s="103"/>
      <c r="G463" s="103"/>
      <c r="H463" s="103"/>
      <c r="I463" s="103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47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5.6">
      <c r="A464" s="47"/>
      <c r="B464" s="47"/>
      <c r="C464" s="103"/>
      <c r="D464" s="103"/>
      <c r="E464" s="103"/>
      <c r="F464" s="103"/>
      <c r="G464" s="103"/>
      <c r="H464" s="103"/>
      <c r="I464" s="103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47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5.6">
      <c r="A465" s="47"/>
      <c r="B465" s="47"/>
      <c r="C465" s="103"/>
      <c r="D465" s="103"/>
      <c r="E465" s="103"/>
      <c r="F465" s="103"/>
      <c r="G465" s="103"/>
      <c r="H465" s="103"/>
      <c r="I465" s="103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47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5.6">
      <c r="A466" s="47"/>
      <c r="B466" s="47"/>
      <c r="C466" s="103"/>
      <c r="D466" s="103"/>
      <c r="E466" s="103"/>
      <c r="F466" s="103"/>
      <c r="G466" s="103"/>
      <c r="H466" s="103"/>
      <c r="I466" s="103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47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5.6">
      <c r="A467" s="47"/>
      <c r="B467" s="47"/>
      <c r="C467" s="103"/>
      <c r="D467" s="103"/>
      <c r="E467" s="103"/>
      <c r="F467" s="103"/>
      <c r="G467" s="103"/>
      <c r="H467" s="103"/>
      <c r="I467" s="103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47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5.6">
      <c r="A468" s="47"/>
      <c r="B468" s="47"/>
      <c r="C468" s="103"/>
      <c r="D468" s="103"/>
      <c r="E468" s="103"/>
      <c r="F468" s="103"/>
      <c r="G468" s="103"/>
      <c r="H468" s="103"/>
      <c r="I468" s="103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47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5.6">
      <c r="A469" s="47"/>
      <c r="B469" s="47"/>
      <c r="C469" s="103"/>
      <c r="D469" s="103"/>
      <c r="E469" s="103"/>
      <c r="F469" s="103"/>
      <c r="G469" s="103"/>
      <c r="H469" s="103"/>
      <c r="I469" s="103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47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5.6">
      <c r="A470" s="47"/>
      <c r="B470" s="47"/>
      <c r="C470" s="103"/>
      <c r="D470" s="103"/>
      <c r="E470" s="103"/>
      <c r="F470" s="103"/>
      <c r="G470" s="103"/>
      <c r="H470" s="103"/>
      <c r="I470" s="103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47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5.6">
      <c r="A471" s="47"/>
      <c r="B471" s="47"/>
      <c r="C471" s="103"/>
      <c r="D471" s="103"/>
      <c r="E471" s="103"/>
      <c r="F471" s="103"/>
      <c r="G471" s="103"/>
      <c r="H471" s="103"/>
      <c r="I471" s="103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47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5.6">
      <c r="A472" s="47"/>
      <c r="B472" s="47"/>
      <c r="C472" s="103"/>
      <c r="D472" s="103"/>
      <c r="E472" s="103"/>
      <c r="F472" s="103"/>
      <c r="G472" s="103"/>
      <c r="H472" s="103"/>
      <c r="I472" s="103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47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5.6">
      <c r="A473" s="47"/>
      <c r="B473" s="47"/>
      <c r="C473" s="103"/>
      <c r="D473" s="103"/>
      <c r="E473" s="103"/>
      <c r="F473" s="103"/>
      <c r="G473" s="103"/>
      <c r="H473" s="103"/>
      <c r="I473" s="103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47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5.6">
      <c r="A474" s="47"/>
      <c r="B474" s="47"/>
      <c r="C474" s="103"/>
      <c r="D474" s="103"/>
      <c r="E474" s="103"/>
      <c r="F474" s="103"/>
      <c r="G474" s="103"/>
      <c r="H474" s="103"/>
      <c r="I474" s="103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47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5.6">
      <c r="A475" s="47"/>
      <c r="B475" s="47"/>
      <c r="C475" s="103"/>
      <c r="D475" s="103"/>
      <c r="E475" s="103"/>
      <c r="F475" s="103"/>
      <c r="G475" s="103"/>
      <c r="H475" s="103"/>
      <c r="I475" s="103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47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5.6">
      <c r="A476" s="47"/>
      <c r="B476" s="47"/>
      <c r="C476" s="103"/>
      <c r="D476" s="103"/>
      <c r="E476" s="103"/>
      <c r="F476" s="103"/>
      <c r="G476" s="103"/>
      <c r="H476" s="103"/>
      <c r="I476" s="103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47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5.6">
      <c r="A477" s="47"/>
      <c r="B477" s="47"/>
      <c r="C477" s="103"/>
      <c r="D477" s="103"/>
      <c r="E477" s="103"/>
      <c r="F477" s="103"/>
      <c r="G477" s="103"/>
      <c r="H477" s="103"/>
      <c r="I477" s="103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47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5.6">
      <c r="A478" s="47"/>
      <c r="B478" s="47"/>
      <c r="C478" s="103"/>
      <c r="D478" s="103"/>
      <c r="E478" s="103"/>
      <c r="F478" s="103"/>
      <c r="G478" s="103"/>
      <c r="H478" s="103"/>
      <c r="I478" s="103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47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5.6">
      <c r="A479" s="47"/>
      <c r="B479" s="47"/>
      <c r="C479" s="103"/>
      <c r="D479" s="103"/>
      <c r="E479" s="103"/>
      <c r="F479" s="103"/>
      <c r="G479" s="103"/>
      <c r="H479" s="103"/>
      <c r="I479" s="103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47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5.6">
      <c r="A480" s="47"/>
      <c r="B480" s="47"/>
      <c r="C480" s="103"/>
      <c r="D480" s="103"/>
      <c r="E480" s="103"/>
      <c r="F480" s="103"/>
      <c r="G480" s="103"/>
      <c r="H480" s="103"/>
      <c r="I480" s="103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47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5.6">
      <c r="A481" s="47"/>
      <c r="B481" s="47"/>
      <c r="C481" s="103"/>
      <c r="D481" s="103"/>
      <c r="E481" s="103"/>
      <c r="F481" s="103"/>
      <c r="G481" s="103"/>
      <c r="H481" s="103"/>
      <c r="I481" s="103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47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5.6">
      <c r="A482" s="47"/>
      <c r="B482" s="47"/>
      <c r="C482" s="103"/>
      <c r="D482" s="103"/>
      <c r="E482" s="103"/>
      <c r="F482" s="103"/>
      <c r="G482" s="103"/>
      <c r="H482" s="103"/>
      <c r="I482" s="103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47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5.6">
      <c r="A483" s="47"/>
      <c r="B483" s="47"/>
      <c r="C483" s="103"/>
      <c r="D483" s="103"/>
      <c r="E483" s="103"/>
      <c r="F483" s="103"/>
      <c r="G483" s="103"/>
      <c r="H483" s="103"/>
      <c r="I483" s="103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47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5.6">
      <c r="A484" s="47"/>
      <c r="B484" s="47"/>
      <c r="C484" s="103"/>
      <c r="D484" s="103"/>
      <c r="E484" s="103"/>
      <c r="F484" s="103"/>
      <c r="G484" s="103"/>
      <c r="H484" s="103"/>
      <c r="I484" s="103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47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5.6">
      <c r="A485" s="47"/>
      <c r="B485" s="47"/>
      <c r="C485" s="103"/>
      <c r="D485" s="103"/>
      <c r="E485" s="103"/>
      <c r="F485" s="103"/>
      <c r="G485" s="103"/>
      <c r="H485" s="103"/>
      <c r="I485" s="103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47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5.6">
      <c r="A486" s="47"/>
      <c r="B486" s="47"/>
      <c r="C486" s="103"/>
      <c r="D486" s="103"/>
      <c r="E486" s="103"/>
      <c r="F486" s="103"/>
      <c r="G486" s="103"/>
      <c r="H486" s="103"/>
      <c r="I486" s="103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47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5.6">
      <c r="A487" s="47"/>
      <c r="B487" s="47"/>
      <c r="C487" s="103"/>
      <c r="D487" s="103"/>
      <c r="E487" s="103"/>
      <c r="F487" s="103"/>
      <c r="G487" s="103"/>
      <c r="H487" s="103"/>
      <c r="I487" s="103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47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5.6">
      <c r="A488" s="47"/>
      <c r="B488" s="47"/>
      <c r="C488" s="103"/>
      <c r="D488" s="103"/>
      <c r="E488" s="103"/>
      <c r="F488" s="103"/>
      <c r="G488" s="103"/>
      <c r="H488" s="103"/>
      <c r="I488" s="103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47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5.6">
      <c r="A489" s="47"/>
      <c r="B489" s="47"/>
      <c r="C489" s="103"/>
      <c r="D489" s="103"/>
      <c r="E489" s="103"/>
      <c r="F489" s="103"/>
      <c r="G489" s="103"/>
      <c r="H489" s="103"/>
      <c r="I489" s="103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47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5.6">
      <c r="A490" s="47"/>
      <c r="B490" s="47"/>
      <c r="C490" s="103"/>
      <c r="D490" s="103"/>
      <c r="E490" s="103"/>
      <c r="F490" s="103"/>
      <c r="G490" s="103"/>
      <c r="H490" s="103"/>
      <c r="I490" s="103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47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5.6">
      <c r="A491" s="47"/>
      <c r="B491" s="47"/>
      <c r="C491" s="103"/>
      <c r="D491" s="103"/>
      <c r="E491" s="103"/>
      <c r="F491" s="103"/>
      <c r="G491" s="103"/>
      <c r="H491" s="103"/>
      <c r="I491" s="103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47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5.6">
      <c r="A492" s="47"/>
      <c r="B492" s="47"/>
      <c r="C492" s="103"/>
      <c r="D492" s="103"/>
      <c r="E492" s="103"/>
      <c r="F492" s="103"/>
      <c r="G492" s="103"/>
      <c r="H492" s="103"/>
      <c r="I492" s="103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47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5.6">
      <c r="A493" s="47"/>
      <c r="B493" s="47"/>
      <c r="C493" s="103"/>
      <c r="D493" s="103"/>
      <c r="E493" s="103"/>
      <c r="F493" s="103"/>
      <c r="G493" s="103"/>
      <c r="H493" s="103"/>
      <c r="I493" s="103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47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5.6">
      <c r="A494" s="47"/>
      <c r="B494" s="47"/>
      <c r="C494" s="103"/>
      <c r="D494" s="103"/>
      <c r="E494" s="103"/>
      <c r="F494" s="103"/>
      <c r="G494" s="103"/>
      <c r="H494" s="103"/>
      <c r="I494" s="103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47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5.6">
      <c r="A495" s="47"/>
      <c r="B495" s="47"/>
      <c r="C495" s="103"/>
      <c r="D495" s="103"/>
      <c r="E495" s="103"/>
      <c r="F495" s="103"/>
      <c r="G495" s="103"/>
      <c r="H495" s="103"/>
      <c r="I495" s="103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47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5.6">
      <c r="A496" s="47"/>
      <c r="B496" s="47"/>
      <c r="C496" s="103"/>
      <c r="D496" s="103"/>
      <c r="E496" s="103"/>
      <c r="F496" s="103"/>
      <c r="G496" s="103"/>
      <c r="H496" s="103"/>
      <c r="I496" s="103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47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5.6">
      <c r="A497" s="47"/>
      <c r="B497" s="47"/>
      <c r="C497" s="103"/>
      <c r="D497" s="103"/>
      <c r="E497" s="103"/>
      <c r="F497" s="103"/>
      <c r="G497" s="103"/>
      <c r="H497" s="103"/>
      <c r="I497" s="103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47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5.6">
      <c r="A498" s="47"/>
      <c r="B498" s="47"/>
      <c r="C498" s="103"/>
      <c r="D498" s="103"/>
      <c r="E498" s="103"/>
      <c r="F498" s="103"/>
      <c r="G498" s="103"/>
      <c r="H498" s="103"/>
      <c r="I498" s="103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47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5.6">
      <c r="A499" s="47"/>
      <c r="B499" s="47"/>
      <c r="C499" s="103"/>
      <c r="D499" s="103"/>
      <c r="E499" s="103"/>
      <c r="F499" s="103"/>
      <c r="G499" s="103"/>
      <c r="H499" s="103"/>
      <c r="I499" s="103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47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5.6">
      <c r="A500" s="47"/>
      <c r="B500" s="47"/>
      <c r="C500" s="103"/>
      <c r="D500" s="103"/>
      <c r="E500" s="103"/>
      <c r="F500" s="103"/>
      <c r="G500" s="103"/>
      <c r="H500" s="103"/>
      <c r="I500" s="103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47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5.6">
      <c r="A501" s="47"/>
      <c r="B501" s="47"/>
      <c r="C501" s="103"/>
      <c r="D501" s="103"/>
      <c r="E501" s="103"/>
      <c r="F501" s="103"/>
      <c r="G501" s="103"/>
      <c r="H501" s="103"/>
      <c r="I501" s="103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47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5.6">
      <c r="A502" s="47"/>
      <c r="B502" s="47"/>
      <c r="C502" s="103"/>
      <c r="D502" s="103"/>
      <c r="E502" s="103"/>
      <c r="F502" s="103"/>
      <c r="G502" s="103"/>
      <c r="H502" s="103"/>
      <c r="I502" s="103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47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5.6">
      <c r="A503" s="47"/>
      <c r="B503" s="47"/>
      <c r="C503" s="103"/>
      <c r="D503" s="103"/>
      <c r="E503" s="103"/>
      <c r="F503" s="103"/>
      <c r="G503" s="103"/>
      <c r="H503" s="103"/>
      <c r="I503" s="103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47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5.6">
      <c r="A504" s="47"/>
      <c r="B504" s="47"/>
      <c r="C504" s="103"/>
      <c r="D504" s="103"/>
      <c r="E504" s="103"/>
      <c r="F504" s="103"/>
      <c r="G504" s="103"/>
      <c r="H504" s="103"/>
      <c r="I504" s="103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47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5.6">
      <c r="A505" s="47"/>
      <c r="B505" s="47"/>
      <c r="C505" s="103"/>
      <c r="D505" s="103"/>
      <c r="E505" s="103"/>
      <c r="F505" s="103"/>
      <c r="G505" s="103"/>
      <c r="H505" s="103"/>
      <c r="I505" s="103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47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5.6">
      <c r="A506" s="47"/>
      <c r="B506" s="47"/>
      <c r="C506" s="103"/>
      <c r="D506" s="103"/>
      <c r="E506" s="103"/>
      <c r="F506" s="103"/>
      <c r="G506" s="103"/>
      <c r="H506" s="103"/>
      <c r="I506" s="103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47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5.6">
      <c r="A507" s="47"/>
      <c r="B507" s="47"/>
      <c r="C507" s="103"/>
      <c r="D507" s="103"/>
      <c r="E507" s="103"/>
      <c r="F507" s="103"/>
      <c r="G507" s="103"/>
      <c r="H507" s="103"/>
      <c r="I507" s="103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47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5.6">
      <c r="A508" s="47"/>
      <c r="B508" s="47"/>
      <c r="C508" s="103"/>
      <c r="D508" s="103"/>
      <c r="E508" s="103"/>
      <c r="F508" s="103"/>
      <c r="G508" s="103"/>
      <c r="H508" s="103"/>
      <c r="I508" s="103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47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5.6">
      <c r="A509" s="47"/>
      <c r="B509" s="47"/>
      <c r="C509" s="103"/>
      <c r="D509" s="103"/>
      <c r="E509" s="103"/>
      <c r="F509" s="103"/>
      <c r="G509" s="103"/>
      <c r="H509" s="103"/>
      <c r="I509" s="103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47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5.6">
      <c r="A510" s="47"/>
      <c r="B510" s="47"/>
      <c r="C510" s="103"/>
      <c r="D510" s="103"/>
      <c r="E510" s="103"/>
      <c r="F510" s="103"/>
      <c r="G510" s="103"/>
      <c r="H510" s="103"/>
      <c r="I510" s="103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47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5.6">
      <c r="A511" s="47"/>
      <c r="B511" s="47"/>
      <c r="C511" s="103"/>
      <c r="D511" s="103"/>
      <c r="E511" s="103"/>
      <c r="F511" s="103"/>
      <c r="G511" s="103"/>
      <c r="H511" s="103"/>
      <c r="I511" s="103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47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5.6">
      <c r="A512" s="47"/>
      <c r="B512" s="47"/>
      <c r="C512" s="103"/>
      <c r="D512" s="103"/>
      <c r="E512" s="103"/>
      <c r="F512" s="103"/>
      <c r="G512" s="103"/>
      <c r="H512" s="103"/>
      <c r="I512" s="103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47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5.6">
      <c r="A513" s="47"/>
      <c r="B513" s="47"/>
      <c r="C513" s="103"/>
      <c r="D513" s="103"/>
      <c r="E513" s="103"/>
      <c r="F513" s="103"/>
      <c r="G513" s="103"/>
      <c r="H513" s="103"/>
      <c r="I513" s="103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47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5.6">
      <c r="A514" s="47"/>
      <c r="B514" s="47"/>
      <c r="C514" s="103"/>
      <c r="D514" s="103"/>
      <c r="E514" s="103"/>
      <c r="F514" s="103"/>
      <c r="G514" s="103"/>
      <c r="H514" s="103"/>
      <c r="I514" s="103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47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5.6">
      <c r="A515" s="47"/>
      <c r="B515" s="47"/>
      <c r="C515" s="103"/>
      <c r="D515" s="103"/>
      <c r="E515" s="103"/>
      <c r="F515" s="103"/>
      <c r="G515" s="103"/>
      <c r="H515" s="103"/>
      <c r="I515" s="103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47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5.6">
      <c r="A516" s="47"/>
      <c r="B516" s="47"/>
      <c r="C516" s="103"/>
      <c r="D516" s="103"/>
      <c r="E516" s="103"/>
      <c r="F516" s="103"/>
      <c r="G516" s="103"/>
      <c r="H516" s="103"/>
      <c r="I516" s="103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47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5.6">
      <c r="A517" s="47"/>
      <c r="B517" s="47"/>
      <c r="C517" s="103"/>
      <c r="D517" s="103"/>
      <c r="E517" s="103"/>
      <c r="F517" s="103"/>
      <c r="G517" s="103"/>
      <c r="H517" s="103"/>
      <c r="I517" s="103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47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5.6">
      <c r="A518" s="47"/>
      <c r="B518" s="47"/>
      <c r="C518" s="103"/>
      <c r="D518" s="103"/>
      <c r="E518" s="103"/>
      <c r="F518" s="103"/>
      <c r="G518" s="103"/>
      <c r="H518" s="103"/>
      <c r="I518" s="103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47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5.6">
      <c r="A519" s="47"/>
      <c r="B519" s="47"/>
      <c r="C519" s="103"/>
      <c r="D519" s="103"/>
      <c r="E519" s="103"/>
      <c r="F519" s="103"/>
      <c r="G519" s="103"/>
      <c r="H519" s="103"/>
      <c r="I519" s="103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47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5.6">
      <c r="A520" s="47"/>
      <c r="B520" s="47"/>
      <c r="C520" s="103"/>
      <c r="D520" s="103"/>
      <c r="E520" s="103"/>
      <c r="F520" s="103"/>
      <c r="G520" s="103"/>
      <c r="H520" s="103"/>
      <c r="I520" s="103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47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5.6">
      <c r="A521" s="47"/>
      <c r="B521" s="47"/>
      <c r="C521" s="103"/>
      <c r="D521" s="103"/>
      <c r="E521" s="103"/>
      <c r="F521" s="103"/>
      <c r="G521" s="103"/>
      <c r="H521" s="103"/>
      <c r="I521" s="103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47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5.6">
      <c r="A522" s="47"/>
      <c r="B522" s="47"/>
      <c r="C522" s="103"/>
      <c r="D522" s="103"/>
      <c r="E522" s="103"/>
      <c r="F522" s="103"/>
      <c r="G522" s="103"/>
      <c r="H522" s="103"/>
      <c r="I522" s="103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47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5.6">
      <c r="A523" s="47"/>
      <c r="B523" s="47"/>
      <c r="C523" s="103"/>
      <c r="D523" s="103"/>
      <c r="E523" s="103"/>
      <c r="F523" s="103"/>
      <c r="G523" s="103"/>
      <c r="H523" s="103"/>
      <c r="I523" s="103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47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5.6">
      <c r="A524" s="47"/>
      <c r="B524" s="47"/>
      <c r="C524" s="103"/>
      <c r="D524" s="103"/>
      <c r="E524" s="103"/>
      <c r="F524" s="103"/>
      <c r="G524" s="103"/>
      <c r="H524" s="103"/>
      <c r="I524" s="103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47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5.6">
      <c r="A525" s="47"/>
      <c r="B525" s="47"/>
      <c r="C525" s="103"/>
      <c r="D525" s="103"/>
      <c r="E525" s="103"/>
      <c r="F525" s="103"/>
      <c r="G525" s="103"/>
      <c r="H525" s="103"/>
      <c r="I525" s="103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47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5.6">
      <c r="A526" s="47"/>
      <c r="B526" s="47"/>
      <c r="C526" s="103"/>
      <c r="D526" s="103"/>
      <c r="E526" s="103"/>
      <c r="F526" s="103"/>
      <c r="G526" s="103"/>
      <c r="H526" s="103"/>
      <c r="I526" s="103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47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5.6">
      <c r="A527" s="47"/>
      <c r="B527" s="47"/>
      <c r="C527" s="103"/>
      <c r="D527" s="103"/>
      <c r="E527" s="103"/>
      <c r="F527" s="103"/>
      <c r="G527" s="103"/>
      <c r="H527" s="103"/>
      <c r="I527" s="103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47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5.6">
      <c r="A528" s="47"/>
      <c r="B528" s="47"/>
      <c r="C528" s="103"/>
      <c r="D528" s="103"/>
      <c r="E528" s="103"/>
      <c r="F528" s="103"/>
      <c r="G528" s="103"/>
      <c r="H528" s="103"/>
      <c r="I528" s="103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47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5.6">
      <c r="A529" s="47"/>
      <c r="B529" s="47"/>
      <c r="C529" s="103"/>
      <c r="D529" s="103"/>
      <c r="E529" s="103"/>
      <c r="F529" s="103"/>
      <c r="G529" s="103"/>
      <c r="H529" s="103"/>
      <c r="I529" s="103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47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5.6">
      <c r="A530" s="47"/>
      <c r="B530" s="47"/>
      <c r="C530" s="103"/>
      <c r="D530" s="103"/>
      <c r="E530" s="103"/>
      <c r="F530" s="103"/>
      <c r="G530" s="103"/>
      <c r="H530" s="103"/>
      <c r="I530" s="103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47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5.6">
      <c r="A531" s="47"/>
      <c r="B531" s="47"/>
      <c r="C531" s="103"/>
      <c r="D531" s="103"/>
      <c r="E531" s="103"/>
      <c r="F531" s="103"/>
      <c r="G531" s="103"/>
      <c r="H531" s="103"/>
      <c r="I531" s="103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47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5.6">
      <c r="A532" s="47"/>
      <c r="B532" s="47"/>
      <c r="C532" s="103"/>
      <c r="D532" s="103"/>
      <c r="E532" s="103"/>
      <c r="F532" s="103"/>
      <c r="G532" s="103"/>
      <c r="H532" s="103"/>
      <c r="I532" s="103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47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5.6">
      <c r="A533" s="47"/>
      <c r="B533" s="47"/>
      <c r="C533" s="103"/>
      <c r="D533" s="103"/>
      <c r="E533" s="103"/>
      <c r="F533" s="103"/>
      <c r="G533" s="103"/>
      <c r="H533" s="103"/>
      <c r="I533" s="103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47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5.6">
      <c r="A534" s="47"/>
      <c r="B534" s="47"/>
      <c r="C534" s="103"/>
      <c r="D534" s="103"/>
      <c r="E534" s="103"/>
      <c r="F534" s="103"/>
      <c r="G534" s="103"/>
      <c r="H534" s="103"/>
      <c r="I534" s="103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47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5.6">
      <c r="A535" s="47"/>
      <c r="B535" s="47"/>
      <c r="C535" s="103"/>
      <c r="D535" s="103"/>
      <c r="E535" s="103"/>
      <c r="F535" s="103"/>
      <c r="G535" s="103"/>
      <c r="H535" s="103"/>
      <c r="I535" s="103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47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5.6">
      <c r="A536" s="47"/>
      <c r="B536" s="47"/>
      <c r="C536" s="103"/>
      <c r="D536" s="103"/>
      <c r="E536" s="103"/>
      <c r="F536" s="103"/>
      <c r="G536" s="103"/>
      <c r="H536" s="103"/>
      <c r="I536" s="103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47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5.6">
      <c r="A537" s="47"/>
      <c r="B537" s="47"/>
      <c r="C537" s="103"/>
      <c r="D537" s="103"/>
      <c r="E537" s="103"/>
      <c r="F537" s="103"/>
      <c r="G537" s="103"/>
      <c r="H537" s="103"/>
      <c r="I537" s="103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47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5.6">
      <c r="A538" s="47"/>
      <c r="B538" s="47"/>
      <c r="C538" s="103"/>
      <c r="D538" s="103"/>
      <c r="E538" s="103"/>
      <c r="F538" s="103"/>
      <c r="G538" s="103"/>
      <c r="H538" s="103"/>
      <c r="I538" s="103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47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5.6">
      <c r="A539" s="47"/>
      <c r="B539" s="47"/>
      <c r="C539" s="103"/>
      <c r="D539" s="103"/>
      <c r="E539" s="103"/>
      <c r="F539" s="103"/>
      <c r="G539" s="103"/>
      <c r="H539" s="103"/>
      <c r="I539" s="103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47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5.6">
      <c r="A540" s="47"/>
      <c r="B540" s="47"/>
      <c r="C540" s="103"/>
      <c r="D540" s="103"/>
      <c r="E540" s="103"/>
      <c r="F540" s="103"/>
      <c r="G540" s="103"/>
      <c r="H540" s="103"/>
      <c r="I540" s="103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47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5.6">
      <c r="A541" s="47"/>
      <c r="B541" s="47"/>
      <c r="C541" s="103"/>
      <c r="D541" s="103"/>
      <c r="E541" s="103"/>
      <c r="F541" s="103"/>
      <c r="G541" s="103"/>
      <c r="H541" s="103"/>
      <c r="I541" s="103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47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5.6">
      <c r="A542" s="47"/>
      <c r="B542" s="47"/>
      <c r="C542" s="103"/>
      <c r="D542" s="103"/>
      <c r="E542" s="103"/>
      <c r="F542" s="103"/>
      <c r="G542" s="103"/>
      <c r="H542" s="103"/>
      <c r="I542" s="103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47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5.6">
      <c r="A543" s="47"/>
      <c r="B543" s="47"/>
      <c r="C543" s="103"/>
      <c r="D543" s="103"/>
      <c r="E543" s="103"/>
      <c r="F543" s="103"/>
      <c r="G543" s="103"/>
      <c r="H543" s="103"/>
      <c r="I543" s="103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47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5.6">
      <c r="A544" s="47"/>
      <c r="B544" s="47"/>
      <c r="C544" s="103"/>
      <c r="D544" s="103"/>
      <c r="E544" s="103"/>
      <c r="F544" s="103"/>
      <c r="G544" s="103"/>
      <c r="H544" s="103"/>
      <c r="I544" s="103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47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5.6">
      <c r="A545" s="47"/>
      <c r="B545" s="47"/>
      <c r="C545" s="103"/>
      <c r="D545" s="103"/>
      <c r="E545" s="103"/>
      <c r="F545" s="103"/>
      <c r="G545" s="103"/>
      <c r="H545" s="103"/>
      <c r="I545" s="103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47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5.6">
      <c r="A546" s="47"/>
      <c r="B546" s="47"/>
      <c r="C546" s="103"/>
      <c r="D546" s="103"/>
      <c r="E546" s="103"/>
      <c r="F546" s="103"/>
      <c r="G546" s="103"/>
      <c r="H546" s="103"/>
      <c r="I546" s="103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47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5.6">
      <c r="A547" s="47"/>
      <c r="B547" s="47"/>
      <c r="C547" s="103"/>
      <c r="D547" s="103"/>
      <c r="E547" s="103"/>
      <c r="F547" s="103"/>
      <c r="G547" s="103"/>
      <c r="H547" s="103"/>
      <c r="I547" s="103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47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5.6">
      <c r="A548" s="47"/>
      <c r="B548" s="47"/>
      <c r="C548" s="103"/>
      <c r="D548" s="103"/>
      <c r="E548" s="103"/>
      <c r="F548" s="103"/>
      <c r="G548" s="103"/>
      <c r="H548" s="103"/>
      <c r="I548" s="103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47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5.6">
      <c r="A549" s="47"/>
      <c r="B549" s="47"/>
      <c r="C549" s="103"/>
      <c r="D549" s="103"/>
      <c r="E549" s="103"/>
      <c r="F549" s="103"/>
      <c r="G549" s="103"/>
      <c r="H549" s="103"/>
      <c r="I549" s="103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47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5.6">
      <c r="A550" s="47"/>
      <c r="B550" s="47"/>
      <c r="C550" s="103"/>
      <c r="D550" s="103"/>
      <c r="E550" s="103"/>
      <c r="F550" s="103"/>
      <c r="G550" s="103"/>
      <c r="H550" s="103"/>
      <c r="I550" s="103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47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5.6">
      <c r="A551" s="47"/>
      <c r="B551" s="47"/>
      <c r="C551" s="103"/>
      <c r="D551" s="103"/>
      <c r="E551" s="103"/>
      <c r="F551" s="103"/>
      <c r="G551" s="103"/>
      <c r="H551" s="103"/>
      <c r="I551" s="103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47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5.6">
      <c r="A552" s="47"/>
      <c r="B552" s="47"/>
      <c r="C552" s="103"/>
      <c r="D552" s="103"/>
      <c r="E552" s="103"/>
      <c r="F552" s="103"/>
      <c r="G552" s="103"/>
      <c r="H552" s="103"/>
      <c r="I552" s="103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47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5.6">
      <c r="A553" s="47"/>
      <c r="B553" s="47"/>
      <c r="C553" s="103"/>
      <c r="D553" s="103"/>
      <c r="E553" s="103"/>
      <c r="F553" s="103"/>
      <c r="G553" s="103"/>
      <c r="H553" s="103"/>
      <c r="I553" s="103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47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5.6">
      <c r="A554" s="47"/>
      <c r="B554" s="47"/>
      <c r="C554" s="103"/>
      <c r="D554" s="103"/>
      <c r="E554" s="103"/>
      <c r="F554" s="103"/>
      <c r="G554" s="103"/>
      <c r="H554" s="103"/>
      <c r="I554" s="103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47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5.6">
      <c r="A555" s="47"/>
      <c r="B555" s="47"/>
      <c r="C555" s="103"/>
      <c r="D555" s="103"/>
      <c r="E555" s="103"/>
      <c r="F555" s="103"/>
      <c r="G555" s="103"/>
      <c r="H555" s="103"/>
      <c r="I555" s="103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47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5.6">
      <c r="A556" s="47"/>
      <c r="B556" s="47"/>
      <c r="C556" s="103"/>
      <c r="D556" s="103"/>
      <c r="E556" s="103"/>
      <c r="F556" s="103"/>
      <c r="G556" s="103"/>
      <c r="H556" s="103"/>
      <c r="I556" s="103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47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5.6">
      <c r="A557" s="47"/>
      <c r="B557" s="47"/>
      <c r="C557" s="103"/>
      <c r="D557" s="103"/>
      <c r="E557" s="103"/>
      <c r="F557" s="103"/>
      <c r="G557" s="103"/>
      <c r="H557" s="103"/>
      <c r="I557" s="103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47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5.6">
      <c r="A558" s="47"/>
      <c r="B558" s="47"/>
      <c r="C558" s="103"/>
      <c r="D558" s="103"/>
      <c r="E558" s="103"/>
      <c r="F558" s="103"/>
      <c r="G558" s="103"/>
      <c r="H558" s="103"/>
      <c r="I558" s="103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47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5.6">
      <c r="A559" s="47"/>
      <c r="B559" s="47"/>
      <c r="C559" s="103"/>
      <c r="D559" s="103"/>
      <c r="E559" s="103"/>
      <c r="F559" s="103"/>
      <c r="G559" s="103"/>
      <c r="H559" s="103"/>
      <c r="I559" s="103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47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5.6">
      <c r="A560" s="47"/>
      <c r="B560" s="47"/>
      <c r="C560" s="103"/>
      <c r="D560" s="103"/>
      <c r="E560" s="103"/>
      <c r="F560" s="103"/>
      <c r="G560" s="103"/>
      <c r="H560" s="103"/>
      <c r="I560" s="103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47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5.6">
      <c r="A561" s="47"/>
      <c r="B561" s="47"/>
      <c r="C561" s="103"/>
      <c r="D561" s="103"/>
      <c r="E561" s="103"/>
      <c r="F561" s="103"/>
      <c r="G561" s="103"/>
      <c r="H561" s="103"/>
      <c r="I561" s="103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47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5.6">
      <c r="A562" s="47"/>
      <c r="B562" s="47"/>
      <c r="C562" s="103"/>
      <c r="D562" s="103"/>
      <c r="E562" s="103"/>
      <c r="F562" s="103"/>
      <c r="G562" s="103"/>
      <c r="H562" s="103"/>
      <c r="I562" s="103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47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5.6">
      <c r="A563" s="47"/>
      <c r="B563" s="47"/>
      <c r="C563" s="103"/>
      <c r="D563" s="103"/>
      <c r="E563" s="103"/>
      <c r="F563" s="103"/>
      <c r="G563" s="103"/>
      <c r="H563" s="103"/>
      <c r="I563" s="103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47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5.6">
      <c r="A564" s="47"/>
      <c r="B564" s="47"/>
      <c r="C564" s="103"/>
      <c r="D564" s="103"/>
      <c r="E564" s="103"/>
      <c r="F564" s="103"/>
      <c r="G564" s="103"/>
      <c r="H564" s="103"/>
      <c r="I564" s="103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47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5.6">
      <c r="A565" s="47"/>
      <c r="B565" s="47"/>
      <c r="C565" s="103"/>
      <c r="D565" s="103"/>
      <c r="E565" s="103"/>
      <c r="F565" s="103"/>
      <c r="G565" s="103"/>
      <c r="H565" s="103"/>
      <c r="I565" s="103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47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5.6">
      <c r="A566" s="47"/>
      <c r="B566" s="47"/>
      <c r="C566" s="103"/>
      <c r="D566" s="103"/>
      <c r="E566" s="103"/>
      <c r="F566" s="103"/>
      <c r="G566" s="103"/>
      <c r="H566" s="103"/>
      <c r="I566" s="103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47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5.6">
      <c r="A567" s="47"/>
      <c r="B567" s="47"/>
      <c r="C567" s="103"/>
      <c r="D567" s="103"/>
      <c r="E567" s="103"/>
      <c r="F567" s="103"/>
      <c r="G567" s="103"/>
      <c r="H567" s="103"/>
      <c r="I567" s="103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47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5.6">
      <c r="A568" s="47"/>
      <c r="B568" s="47"/>
      <c r="C568" s="103"/>
      <c r="D568" s="103"/>
      <c r="E568" s="103"/>
      <c r="F568" s="103"/>
      <c r="G568" s="103"/>
      <c r="H568" s="103"/>
      <c r="I568" s="103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47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5.6">
      <c r="A569" s="47"/>
      <c r="B569" s="47"/>
      <c r="C569" s="103"/>
      <c r="D569" s="103"/>
      <c r="E569" s="103"/>
      <c r="F569" s="103"/>
      <c r="G569" s="103"/>
      <c r="H569" s="103"/>
      <c r="I569" s="103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47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5.6">
      <c r="A570" s="47"/>
      <c r="B570" s="47"/>
      <c r="C570" s="103"/>
      <c r="D570" s="103"/>
      <c r="E570" s="103"/>
      <c r="F570" s="103"/>
      <c r="G570" s="103"/>
      <c r="H570" s="103"/>
      <c r="I570" s="103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47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5.6">
      <c r="A571" s="47"/>
      <c r="B571" s="47"/>
      <c r="C571" s="103"/>
      <c r="D571" s="103"/>
      <c r="E571" s="103"/>
      <c r="F571" s="103"/>
      <c r="G571" s="103"/>
      <c r="H571" s="103"/>
      <c r="I571" s="103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47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5.6">
      <c r="A572" s="47"/>
      <c r="B572" s="47"/>
      <c r="C572" s="103"/>
      <c r="D572" s="103"/>
      <c r="E572" s="103"/>
      <c r="F572" s="103"/>
      <c r="G572" s="103"/>
      <c r="H572" s="103"/>
      <c r="I572" s="103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47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5.6">
      <c r="A573" s="47"/>
      <c r="B573" s="47"/>
      <c r="C573" s="103"/>
      <c r="D573" s="103"/>
      <c r="E573" s="103"/>
      <c r="F573" s="103"/>
      <c r="G573" s="103"/>
      <c r="H573" s="103"/>
      <c r="I573" s="103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47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5.6">
      <c r="A574" s="47"/>
      <c r="B574" s="47"/>
      <c r="C574" s="103"/>
      <c r="D574" s="103"/>
      <c r="E574" s="103"/>
      <c r="F574" s="103"/>
      <c r="G574" s="103"/>
      <c r="H574" s="103"/>
      <c r="I574" s="103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47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5.6">
      <c r="A575" s="47"/>
      <c r="B575" s="47"/>
      <c r="C575" s="103"/>
      <c r="D575" s="103"/>
      <c r="E575" s="103"/>
      <c r="F575" s="103"/>
      <c r="G575" s="103"/>
      <c r="H575" s="103"/>
      <c r="I575" s="103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47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5.6">
      <c r="A576" s="47"/>
      <c r="B576" s="47"/>
      <c r="C576" s="103"/>
      <c r="D576" s="103"/>
      <c r="E576" s="103"/>
      <c r="F576" s="103"/>
      <c r="G576" s="103"/>
      <c r="H576" s="103"/>
      <c r="I576" s="103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47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5.6">
      <c r="A577" s="47"/>
      <c r="B577" s="47"/>
      <c r="C577" s="103"/>
      <c r="D577" s="103"/>
      <c r="E577" s="103"/>
      <c r="F577" s="103"/>
      <c r="G577" s="103"/>
      <c r="H577" s="103"/>
      <c r="I577" s="103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47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5.6">
      <c r="A578" s="47"/>
      <c r="B578" s="47"/>
      <c r="C578" s="103"/>
      <c r="D578" s="103"/>
      <c r="E578" s="103"/>
      <c r="F578" s="103"/>
      <c r="G578" s="103"/>
      <c r="H578" s="103"/>
      <c r="I578" s="103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47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5.6">
      <c r="A579" s="47"/>
      <c r="B579" s="47"/>
      <c r="C579" s="103"/>
      <c r="D579" s="103"/>
      <c r="E579" s="103"/>
      <c r="F579" s="103"/>
      <c r="G579" s="103"/>
      <c r="H579" s="103"/>
      <c r="I579" s="103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47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5.6">
      <c r="A580" s="47"/>
      <c r="B580" s="47"/>
      <c r="C580" s="103"/>
      <c r="D580" s="103"/>
      <c r="E580" s="103"/>
      <c r="F580" s="103"/>
      <c r="G580" s="103"/>
      <c r="H580" s="103"/>
      <c r="I580" s="103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47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5.6">
      <c r="A581" s="47"/>
      <c r="B581" s="47"/>
      <c r="C581" s="103"/>
      <c r="D581" s="103"/>
      <c r="E581" s="103"/>
      <c r="F581" s="103"/>
      <c r="G581" s="103"/>
      <c r="H581" s="103"/>
      <c r="I581" s="103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47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5.6">
      <c r="A582" s="47"/>
      <c r="B582" s="47"/>
      <c r="C582" s="103"/>
      <c r="D582" s="103"/>
      <c r="E582" s="103"/>
      <c r="F582" s="103"/>
      <c r="G582" s="103"/>
      <c r="H582" s="103"/>
      <c r="I582" s="103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47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5.6">
      <c r="A583" s="47"/>
      <c r="B583" s="47"/>
      <c r="C583" s="103"/>
      <c r="D583" s="103"/>
      <c r="E583" s="103"/>
      <c r="F583" s="103"/>
      <c r="G583" s="103"/>
      <c r="H583" s="103"/>
      <c r="I583" s="103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47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5.6">
      <c r="A584" s="47"/>
      <c r="B584" s="47"/>
      <c r="C584" s="103"/>
      <c r="D584" s="103"/>
      <c r="E584" s="103"/>
      <c r="F584" s="103"/>
      <c r="G584" s="103"/>
      <c r="H584" s="103"/>
      <c r="I584" s="103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47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5.6">
      <c r="A585" s="47"/>
      <c r="B585" s="47"/>
      <c r="C585" s="103"/>
      <c r="D585" s="103"/>
      <c r="E585" s="103"/>
      <c r="F585" s="103"/>
      <c r="G585" s="103"/>
      <c r="H585" s="103"/>
      <c r="I585" s="103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47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5.6">
      <c r="A586" s="47"/>
      <c r="B586" s="47"/>
      <c r="C586" s="103"/>
      <c r="D586" s="103"/>
      <c r="E586" s="103"/>
      <c r="F586" s="103"/>
      <c r="G586" s="103"/>
      <c r="H586" s="103"/>
      <c r="I586" s="103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47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5.6">
      <c r="A587" s="47"/>
      <c r="B587" s="47"/>
      <c r="C587" s="103"/>
      <c r="D587" s="103"/>
      <c r="E587" s="103"/>
      <c r="F587" s="103"/>
      <c r="G587" s="103"/>
      <c r="H587" s="103"/>
      <c r="I587" s="103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47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5.6">
      <c r="A588" s="47"/>
      <c r="B588" s="47"/>
      <c r="C588" s="103"/>
      <c r="D588" s="103"/>
      <c r="E588" s="103"/>
      <c r="F588" s="103"/>
      <c r="G588" s="103"/>
      <c r="H588" s="103"/>
      <c r="I588" s="103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47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5.6">
      <c r="A589" s="47"/>
      <c r="B589" s="47"/>
      <c r="C589" s="103"/>
      <c r="D589" s="103"/>
      <c r="E589" s="103"/>
      <c r="F589" s="103"/>
      <c r="G589" s="103"/>
      <c r="H589" s="103"/>
      <c r="I589" s="103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47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5.6">
      <c r="A590" s="47"/>
      <c r="B590" s="47"/>
      <c r="C590" s="103"/>
      <c r="D590" s="103"/>
      <c r="E590" s="103"/>
      <c r="F590" s="103"/>
      <c r="G590" s="103"/>
      <c r="H590" s="103"/>
      <c r="I590" s="103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47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5.6">
      <c r="A591" s="47"/>
      <c r="B591" s="47"/>
      <c r="C591" s="103"/>
      <c r="D591" s="103"/>
      <c r="E591" s="103"/>
      <c r="F591" s="103"/>
      <c r="G591" s="103"/>
      <c r="H591" s="103"/>
      <c r="I591" s="103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47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5.6">
      <c r="A592" s="47"/>
      <c r="B592" s="47"/>
      <c r="C592" s="103"/>
      <c r="D592" s="103"/>
      <c r="E592" s="103"/>
      <c r="F592" s="103"/>
      <c r="G592" s="103"/>
      <c r="H592" s="103"/>
      <c r="I592" s="103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47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5.6">
      <c r="A593" s="47"/>
      <c r="B593" s="47"/>
      <c r="C593" s="103"/>
      <c r="D593" s="103"/>
      <c r="E593" s="103"/>
      <c r="F593" s="103"/>
      <c r="G593" s="103"/>
      <c r="H593" s="103"/>
      <c r="I593" s="103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47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5.6">
      <c r="A594" s="47"/>
      <c r="B594" s="47"/>
      <c r="C594" s="103"/>
      <c r="D594" s="103"/>
      <c r="E594" s="103"/>
      <c r="F594" s="103"/>
      <c r="G594" s="103"/>
      <c r="H594" s="103"/>
      <c r="I594" s="103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47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5.6">
      <c r="A595" s="47"/>
      <c r="B595" s="47"/>
      <c r="C595" s="103"/>
      <c r="D595" s="103"/>
      <c r="E595" s="103"/>
      <c r="F595" s="103"/>
      <c r="G595" s="103"/>
      <c r="H595" s="103"/>
      <c r="I595" s="103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47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5.6">
      <c r="A596" s="47"/>
      <c r="B596" s="47"/>
      <c r="C596" s="103"/>
      <c r="D596" s="103"/>
      <c r="E596" s="103"/>
      <c r="F596" s="103"/>
      <c r="G596" s="103"/>
      <c r="H596" s="103"/>
      <c r="I596" s="103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47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5.6">
      <c r="A597" s="47"/>
      <c r="B597" s="47"/>
      <c r="C597" s="103"/>
      <c r="D597" s="103"/>
      <c r="E597" s="103"/>
      <c r="F597" s="103"/>
      <c r="G597" s="103"/>
      <c r="H597" s="103"/>
      <c r="I597" s="103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47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5.6">
      <c r="A598" s="47"/>
      <c r="B598" s="47"/>
      <c r="C598" s="103"/>
      <c r="D598" s="103"/>
      <c r="E598" s="103"/>
      <c r="F598" s="103"/>
      <c r="G598" s="103"/>
      <c r="H598" s="103"/>
      <c r="I598" s="103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47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5.6">
      <c r="A599" s="47"/>
      <c r="B599" s="47"/>
      <c r="C599" s="103"/>
      <c r="D599" s="103"/>
      <c r="E599" s="103"/>
      <c r="F599" s="103"/>
      <c r="G599" s="103"/>
      <c r="H599" s="103"/>
      <c r="I599" s="103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47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5.6">
      <c r="A600" s="47"/>
      <c r="B600" s="47"/>
      <c r="C600" s="103"/>
      <c r="D600" s="103"/>
      <c r="E600" s="103"/>
      <c r="F600" s="103"/>
      <c r="G600" s="103"/>
      <c r="H600" s="103"/>
      <c r="I600" s="103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47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5.6">
      <c r="A601" s="47"/>
      <c r="B601" s="47"/>
      <c r="C601" s="103"/>
      <c r="D601" s="103"/>
      <c r="E601" s="103"/>
      <c r="F601" s="103"/>
      <c r="G601" s="103"/>
      <c r="H601" s="103"/>
      <c r="I601" s="103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47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5.6">
      <c r="A602" s="47"/>
      <c r="B602" s="47"/>
      <c r="C602" s="103"/>
      <c r="D602" s="103"/>
      <c r="E602" s="103"/>
      <c r="F602" s="103"/>
      <c r="G602" s="103"/>
      <c r="H602" s="103"/>
      <c r="I602" s="103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47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5.6">
      <c r="A603" s="47"/>
      <c r="B603" s="47"/>
      <c r="C603" s="103"/>
      <c r="D603" s="103"/>
      <c r="E603" s="103"/>
      <c r="F603" s="103"/>
      <c r="G603" s="103"/>
      <c r="H603" s="103"/>
      <c r="I603" s="103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47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5.6">
      <c r="A604" s="47"/>
      <c r="B604" s="47"/>
      <c r="C604" s="103"/>
      <c r="D604" s="103"/>
      <c r="E604" s="103"/>
      <c r="F604" s="103"/>
      <c r="G604" s="103"/>
      <c r="H604" s="103"/>
      <c r="I604" s="103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47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5.6">
      <c r="A605" s="47"/>
      <c r="B605" s="47"/>
      <c r="C605" s="103"/>
      <c r="D605" s="103"/>
      <c r="E605" s="103"/>
      <c r="F605" s="103"/>
      <c r="G605" s="103"/>
      <c r="H605" s="103"/>
      <c r="I605" s="103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47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5.6">
      <c r="A606" s="47"/>
      <c r="B606" s="47"/>
      <c r="C606" s="103"/>
      <c r="D606" s="103"/>
      <c r="E606" s="103"/>
      <c r="F606" s="103"/>
      <c r="G606" s="103"/>
      <c r="H606" s="103"/>
      <c r="I606" s="103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47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5.6">
      <c r="A607" s="47"/>
      <c r="B607" s="47"/>
      <c r="C607" s="103"/>
      <c r="D607" s="103"/>
      <c r="E607" s="103"/>
      <c r="F607" s="103"/>
      <c r="G607" s="103"/>
      <c r="H607" s="103"/>
      <c r="I607" s="103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47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5.6">
      <c r="A608" s="47"/>
      <c r="B608" s="47"/>
      <c r="C608" s="103"/>
      <c r="D608" s="103"/>
      <c r="E608" s="103"/>
      <c r="F608" s="103"/>
      <c r="G608" s="103"/>
      <c r="H608" s="103"/>
      <c r="I608" s="103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47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5.6">
      <c r="A609" s="47"/>
      <c r="B609" s="47"/>
      <c r="C609" s="103"/>
      <c r="D609" s="103"/>
      <c r="E609" s="103"/>
      <c r="F609" s="103"/>
      <c r="G609" s="103"/>
      <c r="H609" s="103"/>
      <c r="I609" s="103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47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5.6">
      <c r="A610" s="47"/>
      <c r="B610" s="47"/>
      <c r="C610" s="103"/>
      <c r="D610" s="103"/>
      <c r="E610" s="103"/>
      <c r="F610" s="103"/>
      <c r="G610" s="103"/>
      <c r="H610" s="103"/>
      <c r="I610" s="103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47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5.6">
      <c r="A611" s="47"/>
      <c r="B611" s="47"/>
      <c r="C611" s="103"/>
      <c r="D611" s="103"/>
      <c r="E611" s="103"/>
      <c r="F611" s="103"/>
      <c r="G611" s="103"/>
      <c r="H611" s="103"/>
      <c r="I611" s="103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47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5.6">
      <c r="A612" s="47"/>
      <c r="B612" s="47"/>
      <c r="C612" s="103"/>
      <c r="D612" s="103"/>
      <c r="E612" s="103"/>
      <c r="F612" s="103"/>
      <c r="G612" s="103"/>
      <c r="H612" s="103"/>
      <c r="I612" s="103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47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5.6">
      <c r="A613" s="47"/>
      <c r="B613" s="47"/>
      <c r="C613" s="103"/>
      <c r="D613" s="103"/>
      <c r="E613" s="103"/>
      <c r="F613" s="103"/>
      <c r="G613" s="103"/>
      <c r="H613" s="103"/>
      <c r="I613" s="103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47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5.6">
      <c r="A614" s="47"/>
      <c r="B614" s="47"/>
      <c r="C614" s="103"/>
      <c r="D614" s="103"/>
      <c r="E614" s="103"/>
      <c r="F614" s="103"/>
      <c r="G614" s="103"/>
      <c r="H614" s="103"/>
      <c r="I614" s="103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47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5.6">
      <c r="A615" s="47"/>
      <c r="B615" s="47"/>
      <c r="C615" s="103"/>
      <c r="D615" s="103"/>
      <c r="E615" s="103"/>
      <c r="F615" s="103"/>
      <c r="G615" s="103"/>
      <c r="H615" s="103"/>
      <c r="I615" s="103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47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5.6">
      <c r="A616" s="47"/>
      <c r="B616" s="47"/>
      <c r="C616" s="103"/>
      <c r="D616" s="103"/>
      <c r="E616" s="103"/>
      <c r="F616" s="103"/>
      <c r="G616" s="103"/>
      <c r="H616" s="103"/>
      <c r="I616" s="103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47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5.6">
      <c r="A617" s="47"/>
      <c r="B617" s="47"/>
      <c r="C617" s="103"/>
      <c r="D617" s="103"/>
      <c r="E617" s="103"/>
      <c r="F617" s="103"/>
      <c r="G617" s="103"/>
      <c r="H617" s="103"/>
      <c r="I617" s="103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47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5.6">
      <c r="A618" s="47"/>
      <c r="B618" s="47"/>
      <c r="C618" s="103"/>
      <c r="D618" s="103"/>
      <c r="E618" s="103"/>
      <c r="F618" s="103"/>
      <c r="G618" s="103"/>
      <c r="H618" s="103"/>
      <c r="I618" s="103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47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5.6">
      <c r="A619" s="47"/>
      <c r="B619" s="47"/>
      <c r="C619" s="103"/>
      <c r="D619" s="103"/>
      <c r="E619" s="103"/>
      <c r="F619" s="103"/>
      <c r="G619" s="103"/>
      <c r="H619" s="103"/>
      <c r="I619" s="103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47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5.6">
      <c r="A620" s="47"/>
      <c r="B620" s="47"/>
      <c r="C620" s="103"/>
      <c r="D620" s="103"/>
      <c r="E620" s="103"/>
      <c r="F620" s="103"/>
      <c r="G620" s="103"/>
      <c r="H620" s="103"/>
      <c r="I620" s="103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47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5.6">
      <c r="A621" s="47"/>
      <c r="B621" s="47"/>
      <c r="C621" s="103"/>
      <c r="D621" s="103"/>
      <c r="E621" s="103"/>
      <c r="F621" s="103"/>
      <c r="G621" s="103"/>
      <c r="H621" s="103"/>
      <c r="I621" s="103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47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5.6">
      <c r="A622" s="47"/>
      <c r="B622" s="47"/>
      <c r="C622" s="103"/>
      <c r="D622" s="103"/>
      <c r="E622" s="103"/>
      <c r="F622" s="103"/>
      <c r="G622" s="103"/>
      <c r="H622" s="103"/>
      <c r="I622" s="103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47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5.6">
      <c r="A623" s="47"/>
      <c r="B623" s="47"/>
      <c r="C623" s="103"/>
      <c r="D623" s="103"/>
      <c r="E623" s="103"/>
      <c r="F623" s="103"/>
      <c r="G623" s="103"/>
      <c r="H623" s="103"/>
      <c r="I623" s="103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47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5.6">
      <c r="A624" s="47"/>
      <c r="B624" s="47"/>
      <c r="C624" s="103"/>
      <c r="D624" s="103"/>
      <c r="E624" s="103"/>
      <c r="F624" s="103"/>
      <c r="G624" s="103"/>
      <c r="H624" s="103"/>
      <c r="I624" s="103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47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5.6">
      <c r="A625" s="47"/>
      <c r="B625" s="47"/>
      <c r="C625" s="103"/>
      <c r="D625" s="103"/>
      <c r="E625" s="103"/>
      <c r="F625" s="103"/>
      <c r="G625" s="103"/>
      <c r="H625" s="103"/>
      <c r="I625" s="103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47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5.6">
      <c r="A626" s="47"/>
      <c r="B626" s="47"/>
      <c r="C626" s="103"/>
      <c r="D626" s="103"/>
      <c r="E626" s="103"/>
      <c r="F626" s="103"/>
      <c r="G626" s="103"/>
      <c r="H626" s="103"/>
      <c r="I626" s="103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47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5.6">
      <c r="A627" s="47"/>
      <c r="B627" s="47"/>
      <c r="C627" s="103"/>
      <c r="D627" s="103"/>
      <c r="E627" s="103"/>
      <c r="F627" s="103"/>
      <c r="G627" s="103"/>
      <c r="H627" s="103"/>
      <c r="I627" s="103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47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5.6">
      <c r="A628" s="47"/>
      <c r="B628" s="47"/>
      <c r="C628" s="103"/>
      <c r="D628" s="103"/>
      <c r="E628" s="103"/>
      <c r="F628" s="103"/>
      <c r="G628" s="103"/>
      <c r="H628" s="103"/>
      <c r="I628" s="103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47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5.6">
      <c r="A629" s="47"/>
      <c r="B629" s="47"/>
      <c r="C629" s="103"/>
      <c r="D629" s="103"/>
      <c r="E629" s="103"/>
      <c r="F629" s="103"/>
      <c r="G629" s="103"/>
      <c r="H629" s="103"/>
      <c r="I629" s="103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47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5.6">
      <c r="A630" s="47"/>
      <c r="B630" s="47"/>
      <c r="C630" s="103"/>
      <c r="D630" s="103"/>
      <c r="E630" s="103"/>
      <c r="F630" s="103"/>
      <c r="G630" s="103"/>
      <c r="H630" s="103"/>
      <c r="I630" s="103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47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5.6">
      <c r="A631" s="47"/>
      <c r="B631" s="47"/>
      <c r="C631" s="103"/>
      <c r="D631" s="103"/>
      <c r="E631" s="103"/>
      <c r="F631" s="103"/>
      <c r="G631" s="103"/>
      <c r="H631" s="103"/>
      <c r="I631" s="103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47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5.6">
      <c r="A632" s="47"/>
      <c r="B632" s="47"/>
      <c r="C632" s="103"/>
      <c r="D632" s="103"/>
      <c r="E632" s="103"/>
      <c r="F632" s="103"/>
      <c r="G632" s="103"/>
      <c r="H632" s="103"/>
      <c r="I632" s="103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47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5.6">
      <c r="A633" s="47"/>
      <c r="B633" s="47"/>
      <c r="C633" s="103"/>
      <c r="D633" s="103"/>
      <c r="E633" s="103"/>
      <c r="F633" s="103"/>
      <c r="G633" s="103"/>
      <c r="H633" s="103"/>
      <c r="I633" s="103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47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5.6">
      <c r="A634" s="47"/>
      <c r="B634" s="47"/>
      <c r="C634" s="103"/>
      <c r="D634" s="103"/>
      <c r="E634" s="103"/>
      <c r="F634" s="103"/>
      <c r="G634" s="103"/>
      <c r="H634" s="103"/>
      <c r="I634" s="103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C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5.6">
      <c r="A635" s="47"/>
      <c r="B635" s="47"/>
      <c r="C635" s="103"/>
      <c r="D635" s="103"/>
      <c r="E635" s="103"/>
      <c r="F635" s="103"/>
      <c r="G635" s="103"/>
      <c r="H635" s="103"/>
      <c r="I635" s="103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C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5.6">
      <c r="A636" s="47"/>
      <c r="B636" s="47"/>
      <c r="C636" s="103"/>
      <c r="D636" s="103"/>
      <c r="E636" s="103"/>
      <c r="F636" s="103"/>
      <c r="G636" s="103"/>
      <c r="H636" s="103"/>
      <c r="I636" s="103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C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5.6">
      <c r="A637" s="47"/>
      <c r="B637" s="47"/>
      <c r="C637" s="103"/>
      <c r="D637" s="103"/>
      <c r="E637" s="103"/>
      <c r="F637" s="103"/>
      <c r="G637" s="103"/>
      <c r="H637" s="103"/>
      <c r="I637" s="103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C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5.6">
      <c r="A638" s="47"/>
      <c r="B638" s="47"/>
      <c r="C638" s="103"/>
      <c r="D638" s="103"/>
      <c r="E638" s="103"/>
      <c r="F638" s="103"/>
      <c r="G638" s="103"/>
      <c r="H638" s="103"/>
      <c r="I638" s="103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C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5.6">
      <c r="A639" s="47"/>
      <c r="B639" s="47"/>
      <c r="C639" s="103"/>
      <c r="D639" s="103"/>
      <c r="E639" s="103"/>
      <c r="F639" s="103"/>
      <c r="G639" s="103"/>
      <c r="H639" s="103"/>
      <c r="I639" s="103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C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5.6">
      <c r="A640" s="47"/>
      <c r="B640" s="47"/>
      <c r="C640" s="103"/>
      <c r="D640" s="103"/>
      <c r="E640" s="103"/>
      <c r="F640" s="103"/>
      <c r="G640" s="103"/>
      <c r="H640" s="103"/>
      <c r="I640" s="103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C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5.6">
      <c r="A641" s="47"/>
      <c r="B641" s="47"/>
      <c r="C641" s="103"/>
      <c r="D641" s="103"/>
      <c r="E641" s="103"/>
      <c r="F641" s="103"/>
      <c r="G641" s="103"/>
      <c r="H641" s="103"/>
      <c r="I641" s="103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C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5.6">
      <c r="A642" s="47"/>
      <c r="B642" s="47"/>
      <c r="C642" s="103"/>
      <c r="D642" s="103"/>
      <c r="E642" s="103"/>
      <c r="F642" s="103"/>
      <c r="G642" s="103"/>
      <c r="H642" s="103"/>
      <c r="I642" s="103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C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5.6">
      <c r="A643" s="47"/>
      <c r="B643" s="47"/>
      <c r="C643" s="103"/>
      <c r="D643" s="103"/>
      <c r="E643" s="103"/>
      <c r="F643" s="103"/>
      <c r="G643" s="103"/>
      <c r="H643" s="103"/>
      <c r="I643" s="103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C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5.6">
      <c r="A644" s="47"/>
      <c r="B644" s="47"/>
      <c r="C644" s="103"/>
      <c r="D644" s="103"/>
      <c r="E644" s="103"/>
      <c r="F644" s="103"/>
      <c r="G644" s="103"/>
      <c r="H644" s="103"/>
      <c r="I644" s="103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C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5.6">
      <c r="A645" s="47"/>
      <c r="B645" s="47"/>
      <c r="C645" s="103"/>
      <c r="D645" s="103"/>
      <c r="E645" s="103"/>
      <c r="F645" s="103"/>
      <c r="G645" s="103"/>
      <c r="H645" s="103"/>
      <c r="I645" s="103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C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5.6">
      <c r="A646" s="47"/>
      <c r="B646" s="47"/>
      <c r="C646" s="103"/>
      <c r="D646" s="103"/>
      <c r="E646" s="103"/>
      <c r="F646" s="103"/>
      <c r="G646" s="103"/>
      <c r="H646" s="103"/>
      <c r="I646" s="103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C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5.6">
      <c r="A647" s="47"/>
      <c r="B647" s="47"/>
      <c r="C647" s="103"/>
      <c r="D647" s="103"/>
      <c r="E647" s="103"/>
      <c r="F647" s="103"/>
      <c r="G647" s="103"/>
      <c r="H647" s="103"/>
      <c r="I647" s="103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C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.6">
      <c r="A648" s="47"/>
      <c r="B648" s="47"/>
      <c r="C648" s="103"/>
      <c r="D648" s="103"/>
      <c r="E648" s="103"/>
      <c r="F648" s="103"/>
      <c r="G648" s="103"/>
      <c r="H648" s="103"/>
      <c r="I648" s="103"/>
      <c r="J648" s="47"/>
      <c r="K648" s="47"/>
      <c r="L648" s="1"/>
      <c r="M648" s="47"/>
      <c r="N648" s="47"/>
      <c r="O648" s="1"/>
      <c r="P648" s="47"/>
      <c r="Q648" s="47"/>
      <c r="R648" s="1"/>
      <c r="S648" s="47"/>
      <c r="T648" s="47"/>
      <c r="U648" s="1"/>
      <c r="V648" s="47"/>
      <c r="W648" s="47"/>
      <c r="X648" s="1"/>
      <c r="Y648" s="47"/>
      <c r="Z648" s="47"/>
      <c r="AA648" s="1"/>
      <c r="AB648" s="47"/>
      <c r="AC648" s="47"/>
      <c r="AD648" s="47"/>
      <c r="AE648" s="47"/>
      <c r="AF648" s="1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</row>
    <row r="649" spans="1:44" ht="15.6">
      <c r="A649" s="47"/>
      <c r="B649" s="47"/>
      <c r="C649" s="103"/>
      <c r="D649" s="103"/>
      <c r="E649" s="103"/>
      <c r="F649" s="103"/>
      <c r="G649" s="103"/>
      <c r="H649" s="103"/>
      <c r="I649" s="103"/>
      <c r="J649" s="47"/>
      <c r="K649" s="47"/>
      <c r="L649" s="1"/>
      <c r="M649" s="47"/>
      <c r="N649" s="47"/>
      <c r="O649" s="1"/>
      <c r="P649" s="47"/>
      <c r="Q649" s="47"/>
      <c r="R649" s="1"/>
      <c r="S649" s="47"/>
      <c r="T649" s="47"/>
      <c r="U649" s="1"/>
      <c r="V649" s="47"/>
      <c r="W649" s="47"/>
      <c r="X649" s="1"/>
      <c r="Y649" s="47"/>
      <c r="Z649" s="47"/>
      <c r="AA649" s="1"/>
      <c r="AB649" s="47"/>
      <c r="AC649" s="47"/>
      <c r="AD649" s="47"/>
      <c r="AE649" s="47"/>
      <c r="AF649" s="1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</row>
    <row r="650" spans="1:44" ht="15.6">
      <c r="A650" s="47"/>
      <c r="B650" s="47"/>
      <c r="C650" s="103"/>
      <c r="D650" s="103"/>
      <c r="E650" s="103"/>
      <c r="F650" s="103"/>
      <c r="G650" s="103"/>
      <c r="H650" s="103"/>
      <c r="I650" s="103"/>
      <c r="J650" s="47"/>
      <c r="K650" s="47"/>
      <c r="L650" s="1"/>
      <c r="M650" s="47"/>
      <c r="N650" s="47"/>
      <c r="O650" s="1"/>
      <c r="P650" s="47"/>
      <c r="Q650" s="47"/>
      <c r="R650" s="1"/>
      <c r="S650" s="47"/>
      <c r="T650" s="47"/>
      <c r="U650" s="1"/>
      <c r="V650" s="47"/>
      <c r="W650" s="47"/>
      <c r="X650" s="1"/>
      <c r="Y650" s="47"/>
      <c r="Z650" s="47"/>
      <c r="AA650" s="1"/>
      <c r="AB650" s="47"/>
      <c r="AC650" s="47"/>
      <c r="AD650" s="47"/>
      <c r="AE650" s="47"/>
      <c r="AF650" s="1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</row>
    <row r="651" spans="1:44" ht="15.6">
      <c r="A651" s="47"/>
      <c r="B651" s="47"/>
      <c r="C651" s="103"/>
      <c r="D651" s="103"/>
      <c r="E651" s="103"/>
      <c r="F651" s="103"/>
      <c r="G651" s="103"/>
      <c r="H651" s="103"/>
      <c r="I651" s="103"/>
      <c r="J651" s="47"/>
      <c r="K651" s="47"/>
      <c r="L651" s="1"/>
      <c r="M651" s="47"/>
      <c r="N651" s="47"/>
      <c r="O651" s="1"/>
      <c r="P651" s="47"/>
      <c r="Q651" s="47"/>
      <c r="R651" s="1"/>
      <c r="S651" s="47"/>
      <c r="T651" s="47"/>
      <c r="U651" s="1"/>
      <c r="V651" s="47"/>
      <c r="W651" s="47"/>
      <c r="X651" s="1"/>
      <c r="Y651" s="47"/>
      <c r="Z651" s="47"/>
      <c r="AA651" s="1"/>
      <c r="AB651" s="47"/>
      <c r="AC651" s="47"/>
      <c r="AD651" s="47"/>
      <c r="AE651" s="47"/>
      <c r="AF651" s="1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</row>
    <row r="652" spans="1:44" ht="15.6">
      <c r="A652" s="47"/>
      <c r="B652" s="47"/>
      <c r="C652" s="103"/>
      <c r="D652" s="103"/>
      <c r="E652" s="103"/>
      <c r="F652" s="103"/>
      <c r="G652" s="103"/>
      <c r="H652" s="103"/>
      <c r="I652" s="103"/>
      <c r="J652" s="47"/>
      <c r="K652" s="47"/>
      <c r="L652" s="1"/>
      <c r="M652" s="47"/>
      <c r="N652" s="47"/>
      <c r="O652" s="1"/>
      <c r="P652" s="47"/>
      <c r="Q652" s="47"/>
      <c r="R652" s="1"/>
      <c r="S652" s="47"/>
      <c r="T652" s="47"/>
      <c r="U652" s="1"/>
      <c r="V652" s="47"/>
      <c r="W652" s="47"/>
      <c r="X652" s="1"/>
      <c r="Y652" s="47"/>
      <c r="Z652" s="47"/>
      <c r="AA652" s="1"/>
      <c r="AB652" s="47"/>
      <c r="AC652" s="47"/>
      <c r="AD652" s="47"/>
      <c r="AE652" s="47"/>
      <c r="AF652" s="1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</row>
    <row r="653" spans="1:44" ht="15.6">
      <c r="A653" s="47"/>
      <c r="B653" s="47"/>
      <c r="C653" s="103"/>
      <c r="D653" s="103"/>
      <c r="E653" s="103"/>
      <c r="F653" s="103"/>
      <c r="G653" s="103"/>
      <c r="H653" s="103"/>
      <c r="I653" s="103"/>
      <c r="J653" s="47"/>
      <c r="K653" s="47"/>
      <c r="L653" s="1"/>
      <c r="M653" s="47"/>
      <c r="N653" s="47"/>
      <c r="O653" s="1"/>
      <c r="P653" s="47"/>
      <c r="Q653" s="47"/>
      <c r="R653" s="1"/>
      <c r="S653" s="47"/>
      <c r="T653" s="47"/>
      <c r="U653" s="1"/>
      <c r="V653" s="47"/>
      <c r="W653" s="47"/>
      <c r="X653" s="1"/>
      <c r="Y653" s="47"/>
      <c r="Z653" s="47"/>
      <c r="AA653" s="1"/>
      <c r="AB653" s="47"/>
      <c r="AC653" s="47"/>
      <c r="AD653" s="47"/>
      <c r="AE653" s="47"/>
      <c r="AF653" s="1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</row>
    <row r="654" spans="1:44" ht="15.6">
      <c r="A654" s="47"/>
      <c r="B654" s="47"/>
      <c r="C654" s="103"/>
      <c r="D654" s="103"/>
      <c r="E654" s="103"/>
      <c r="F654" s="103"/>
      <c r="G654" s="103"/>
      <c r="H654" s="103"/>
      <c r="I654" s="103"/>
      <c r="J654" s="47"/>
      <c r="K654" s="47"/>
      <c r="L654" s="1"/>
      <c r="M654" s="47"/>
      <c r="N654" s="47"/>
      <c r="O654" s="1"/>
      <c r="P654" s="47"/>
      <c r="Q654" s="47"/>
      <c r="R654" s="1"/>
      <c r="S654" s="47"/>
      <c r="T654" s="47"/>
      <c r="U654" s="1"/>
      <c r="V654" s="47"/>
      <c r="W654" s="47"/>
      <c r="X654" s="1"/>
      <c r="Y654" s="47"/>
      <c r="Z654" s="47"/>
      <c r="AA654" s="1"/>
      <c r="AB654" s="47"/>
      <c r="AC654" s="47"/>
      <c r="AD654" s="47"/>
      <c r="AE654" s="47"/>
      <c r="AF654" s="1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</row>
    <row r="655" spans="1:44" ht="15.6">
      <c r="A655" s="47"/>
      <c r="B655" s="47"/>
      <c r="C655" s="103"/>
      <c r="D655" s="103"/>
      <c r="E655" s="103"/>
      <c r="F655" s="103"/>
      <c r="G655" s="103"/>
      <c r="H655" s="103"/>
      <c r="I655" s="103"/>
      <c r="J655" s="47"/>
      <c r="K655" s="47"/>
      <c r="L655" s="1"/>
      <c r="M655" s="47"/>
      <c r="N655" s="47"/>
      <c r="O655" s="1"/>
      <c r="P655" s="47"/>
      <c r="Q655" s="47"/>
      <c r="R655" s="1"/>
      <c r="S655" s="47"/>
      <c r="T655" s="47"/>
      <c r="U655" s="1"/>
      <c r="V655" s="47"/>
      <c r="W655" s="47"/>
      <c r="X655" s="1"/>
      <c r="Y655" s="47"/>
      <c r="Z655" s="47"/>
      <c r="AA655" s="1"/>
      <c r="AB655" s="47"/>
      <c r="AC655" s="47"/>
      <c r="AD655" s="47"/>
      <c r="AE655" s="47"/>
      <c r="AF655" s="1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</row>
    <row r="656" spans="1:44" ht="15.6">
      <c r="A656" s="47"/>
      <c r="B656" s="47"/>
      <c r="C656" s="103"/>
      <c r="D656" s="103"/>
      <c r="E656" s="103"/>
      <c r="F656" s="103"/>
      <c r="G656" s="103"/>
      <c r="H656" s="103"/>
      <c r="I656" s="103"/>
      <c r="J656" s="47"/>
      <c r="K656" s="47"/>
      <c r="L656" s="1"/>
      <c r="M656" s="47"/>
      <c r="N656" s="47"/>
      <c r="O656" s="1"/>
      <c r="P656" s="47"/>
      <c r="Q656" s="47"/>
      <c r="R656" s="1"/>
      <c r="S656" s="47"/>
      <c r="T656" s="47"/>
      <c r="U656" s="1"/>
      <c r="V656" s="47"/>
      <c r="W656" s="47"/>
      <c r="X656" s="1"/>
      <c r="Y656" s="47"/>
      <c r="Z656" s="47"/>
      <c r="AA656" s="1"/>
      <c r="AB656" s="47"/>
      <c r="AC656" s="47"/>
      <c r="AD656" s="47"/>
      <c r="AE656" s="47"/>
      <c r="AF656" s="1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</row>
    <row r="657" spans="1:44" ht="15.6">
      <c r="A657" s="47"/>
      <c r="B657" s="47"/>
      <c r="C657" s="103"/>
      <c r="D657" s="103"/>
      <c r="E657" s="103"/>
      <c r="F657" s="103"/>
      <c r="G657" s="103"/>
      <c r="H657" s="103"/>
      <c r="I657" s="103"/>
      <c r="J657" s="47"/>
      <c r="K657" s="47"/>
      <c r="L657" s="1"/>
      <c r="M657" s="47"/>
      <c r="N657" s="47"/>
      <c r="O657" s="1"/>
      <c r="P657" s="47"/>
      <c r="Q657" s="47"/>
      <c r="R657" s="1"/>
      <c r="S657" s="47"/>
      <c r="T657" s="47"/>
      <c r="U657" s="1"/>
      <c r="V657" s="47"/>
      <c r="W657" s="47"/>
      <c r="X657" s="1"/>
      <c r="Y657" s="47"/>
      <c r="Z657" s="47"/>
      <c r="AA657" s="1"/>
      <c r="AB657" s="47"/>
      <c r="AC657" s="47"/>
      <c r="AD657" s="47"/>
      <c r="AE657" s="47"/>
      <c r="AF657" s="1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</row>
    <row r="658" spans="1:44" ht="15.6">
      <c r="A658" s="47"/>
      <c r="B658" s="47"/>
      <c r="C658" s="103"/>
      <c r="D658" s="103"/>
      <c r="E658" s="103"/>
      <c r="F658" s="103"/>
      <c r="G658" s="103"/>
      <c r="H658" s="103"/>
      <c r="I658" s="103"/>
      <c r="J658" s="47"/>
      <c r="K658" s="47"/>
      <c r="L658" s="1"/>
      <c r="M658" s="47"/>
      <c r="N658" s="47"/>
      <c r="O658" s="1"/>
      <c r="P658" s="47"/>
      <c r="Q658" s="47"/>
      <c r="R658" s="1"/>
      <c r="S658" s="47"/>
      <c r="T658" s="47"/>
      <c r="U658" s="1"/>
      <c r="V658" s="47"/>
      <c r="W658" s="47"/>
      <c r="X658" s="1"/>
      <c r="Y658" s="47"/>
      <c r="Z658" s="47"/>
      <c r="AA658" s="1"/>
      <c r="AB658" s="47"/>
      <c r="AC658" s="47"/>
      <c r="AD658" s="47"/>
      <c r="AE658" s="47"/>
      <c r="AF658" s="1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</row>
    <row r="659" spans="1:44" ht="15.6">
      <c r="A659" s="47"/>
      <c r="B659" s="47"/>
      <c r="C659" s="103"/>
      <c r="D659" s="103"/>
      <c r="E659" s="103"/>
      <c r="F659" s="103"/>
      <c r="G659" s="103"/>
      <c r="H659" s="103"/>
      <c r="I659" s="103"/>
      <c r="J659" s="47"/>
      <c r="K659" s="47"/>
      <c r="L659" s="1"/>
      <c r="M659" s="47"/>
      <c r="N659" s="47"/>
      <c r="O659" s="1"/>
      <c r="P659" s="47"/>
      <c r="Q659" s="47"/>
      <c r="R659" s="1"/>
      <c r="S659" s="47"/>
      <c r="T659" s="47"/>
      <c r="U659" s="1"/>
      <c r="V659" s="47"/>
      <c r="W659" s="47"/>
      <c r="X659" s="1"/>
      <c r="Y659" s="47"/>
      <c r="Z659" s="47"/>
      <c r="AA659" s="1"/>
      <c r="AB659" s="47"/>
      <c r="AC659" s="47"/>
      <c r="AD659" s="47"/>
      <c r="AE659" s="47"/>
      <c r="AF659" s="1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</row>
    <row r="660" spans="1:44" ht="15.6">
      <c r="A660" s="47"/>
      <c r="B660" s="47"/>
      <c r="C660" s="103"/>
      <c r="D660" s="103"/>
      <c r="E660" s="103"/>
      <c r="F660" s="103"/>
      <c r="G660" s="103"/>
      <c r="H660" s="103"/>
      <c r="I660" s="103"/>
      <c r="J660" s="47"/>
      <c r="K660" s="47"/>
      <c r="L660" s="1"/>
      <c r="M660" s="47"/>
      <c r="N660" s="47"/>
      <c r="O660" s="1"/>
      <c r="P660" s="47"/>
      <c r="Q660" s="47"/>
      <c r="R660" s="1"/>
      <c r="S660" s="47"/>
      <c r="T660" s="47"/>
      <c r="U660" s="1"/>
      <c r="V660" s="47"/>
      <c r="W660" s="47"/>
      <c r="X660" s="1"/>
      <c r="Y660" s="47"/>
      <c r="Z660" s="47"/>
      <c r="AA660" s="1"/>
      <c r="AB660" s="47"/>
      <c r="AC660" s="47"/>
      <c r="AD660" s="47"/>
      <c r="AE660" s="47"/>
      <c r="AF660" s="1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</row>
    <row r="661" spans="1:44" ht="15.6">
      <c r="A661" s="47"/>
      <c r="B661" s="47"/>
      <c r="C661" s="103"/>
      <c r="D661" s="103"/>
      <c r="E661" s="103"/>
      <c r="F661" s="103"/>
      <c r="G661" s="103"/>
      <c r="H661" s="103"/>
      <c r="I661" s="103"/>
      <c r="J661" s="47"/>
      <c r="K661" s="47"/>
      <c r="L661" s="1"/>
      <c r="M661" s="47"/>
      <c r="N661" s="47"/>
      <c r="O661" s="1"/>
      <c r="P661" s="47"/>
      <c r="Q661" s="47"/>
      <c r="R661" s="1"/>
      <c r="S661" s="47"/>
      <c r="T661" s="47"/>
      <c r="U661" s="1"/>
      <c r="V661" s="47"/>
      <c r="W661" s="47"/>
      <c r="X661" s="1"/>
      <c r="Y661" s="47"/>
      <c r="Z661" s="47"/>
      <c r="AA661" s="1"/>
      <c r="AB661" s="47"/>
      <c r="AC661" s="47"/>
      <c r="AD661" s="47"/>
      <c r="AE661" s="47"/>
      <c r="AF661" s="1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</row>
    <row r="662" spans="1:44" ht="15.6">
      <c r="A662" s="47"/>
      <c r="B662" s="47"/>
      <c r="C662" s="103"/>
      <c r="D662" s="103"/>
      <c r="E662" s="103"/>
      <c r="F662" s="103"/>
      <c r="G662" s="103"/>
      <c r="H662" s="103"/>
      <c r="I662" s="103"/>
      <c r="J662" s="47"/>
      <c r="K662" s="47"/>
      <c r="L662" s="1"/>
      <c r="M662" s="47"/>
      <c r="N662" s="47"/>
      <c r="O662" s="1"/>
      <c r="P662" s="47"/>
      <c r="Q662" s="47"/>
      <c r="R662" s="1"/>
      <c r="S662" s="47"/>
      <c r="T662" s="47"/>
      <c r="U662" s="1"/>
      <c r="V662" s="47"/>
      <c r="W662" s="47"/>
      <c r="X662" s="1"/>
      <c r="Y662" s="47"/>
      <c r="Z662" s="47"/>
      <c r="AA662" s="1"/>
      <c r="AB662" s="47"/>
      <c r="AC662" s="47"/>
      <c r="AD662" s="47"/>
      <c r="AE662" s="47"/>
      <c r="AF662" s="1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</row>
    <row r="663" spans="1:44" ht="15.6">
      <c r="A663" s="47"/>
      <c r="B663" s="47"/>
      <c r="C663" s="103"/>
      <c r="D663" s="103"/>
      <c r="E663" s="103"/>
      <c r="F663" s="103"/>
      <c r="G663" s="103"/>
      <c r="H663" s="103"/>
      <c r="I663" s="103"/>
      <c r="J663" s="47"/>
      <c r="K663" s="47"/>
      <c r="L663" s="1"/>
      <c r="M663" s="47"/>
      <c r="N663" s="47"/>
      <c r="O663" s="1"/>
      <c r="P663" s="47"/>
      <c r="Q663" s="47"/>
      <c r="R663" s="1"/>
      <c r="S663" s="47"/>
      <c r="T663" s="47"/>
      <c r="U663" s="1"/>
      <c r="V663" s="47"/>
      <c r="W663" s="47"/>
      <c r="X663" s="1"/>
      <c r="Y663" s="47"/>
      <c r="Z663" s="47"/>
      <c r="AA663" s="1"/>
      <c r="AB663" s="47"/>
      <c r="AC663" s="47"/>
      <c r="AD663" s="47"/>
      <c r="AE663" s="47"/>
      <c r="AF663" s="1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</row>
    <row r="664" spans="1:44" ht="15.6">
      <c r="A664" s="47"/>
      <c r="B664" s="47"/>
      <c r="C664" s="103"/>
      <c r="D664" s="103"/>
      <c r="E664" s="103"/>
      <c r="F664" s="103"/>
      <c r="G664" s="103"/>
      <c r="H664" s="103"/>
      <c r="I664" s="103"/>
      <c r="J664" s="47"/>
      <c r="K664" s="47"/>
      <c r="L664" s="1"/>
      <c r="M664" s="47"/>
      <c r="N664" s="47"/>
      <c r="O664" s="1"/>
      <c r="P664" s="47"/>
      <c r="Q664" s="47"/>
      <c r="R664" s="1"/>
      <c r="S664" s="47"/>
      <c r="T664" s="47"/>
      <c r="U664" s="1"/>
      <c r="V664" s="47"/>
      <c r="W664" s="47"/>
      <c r="X664" s="1"/>
      <c r="Y664" s="47"/>
      <c r="Z664" s="47"/>
      <c r="AA664" s="1"/>
      <c r="AB664" s="47"/>
      <c r="AC664" s="47"/>
      <c r="AD664" s="47"/>
      <c r="AE664" s="47"/>
      <c r="AF664" s="1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</row>
    <row r="665" spans="1:44" ht="15.6">
      <c r="A665" s="47"/>
      <c r="B665" s="47"/>
      <c r="C665" s="103"/>
      <c r="D665" s="103"/>
      <c r="E665" s="103"/>
      <c r="F665" s="103"/>
      <c r="G665" s="103"/>
      <c r="H665" s="103"/>
      <c r="I665" s="103"/>
      <c r="J665" s="47"/>
      <c r="K665" s="47"/>
      <c r="L665" s="1"/>
      <c r="M665" s="47"/>
      <c r="N665" s="47"/>
      <c r="O665" s="1"/>
      <c r="P665" s="47"/>
      <c r="Q665" s="47"/>
      <c r="R665" s="1"/>
      <c r="S665" s="47"/>
      <c r="T665" s="47"/>
      <c r="U665" s="1"/>
      <c r="V665" s="47"/>
      <c r="W665" s="47"/>
      <c r="X665" s="1"/>
      <c r="Y665" s="47"/>
      <c r="Z665" s="47"/>
      <c r="AA665" s="1"/>
      <c r="AB665" s="47"/>
      <c r="AC665" s="47"/>
      <c r="AD665" s="47"/>
      <c r="AE665" s="47"/>
      <c r="AF665" s="1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</row>
    <row r="666" spans="1:44" ht="15.6">
      <c r="A666" s="47"/>
      <c r="B666" s="47"/>
      <c r="C666" s="103"/>
      <c r="D666" s="103"/>
      <c r="E666" s="103"/>
      <c r="F666" s="103"/>
      <c r="G666" s="103"/>
      <c r="H666" s="103"/>
      <c r="I666" s="103"/>
      <c r="J666" s="47"/>
      <c r="K666" s="47"/>
      <c r="L666" s="1"/>
      <c r="M666" s="47"/>
      <c r="N666" s="47"/>
      <c r="O666" s="1"/>
      <c r="P666" s="47"/>
      <c r="Q666" s="47"/>
      <c r="R666" s="1"/>
      <c r="S666" s="47"/>
      <c r="T666" s="47"/>
      <c r="U666" s="1"/>
      <c r="V666" s="47"/>
      <c r="W666" s="47"/>
      <c r="X666" s="1"/>
      <c r="Y666" s="47"/>
      <c r="Z666" s="47"/>
      <c r="AA666" s="1"/>
      <c r="AB666" s="47"/>
      <c r="AC666" s="47"/>
      <c r="AD666" s="47"/>
      <c r="AE666" s="47"/>
      <c r="AF666" s="1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</row>
    <row r="667" spans="1:44" ht="15.6">
      <c r="A667" s="47"/>
      <c r="B667" s="47"/>
      <c r="C667" s="103"/>
      <c r="D667" s="103"/>
      <c r="E667" s="103"/>
      <c r="F667" s="103"/>
      <c r="G667" s="103"/>
      <c r="H667" s="103"/>
      <c r="I667" s="103"/>
      <c r="J667" s="47"/>
      <c r="K667" s="47"/>
      <c r="L667" s="1"/>
      <c r="M667" s="47"/>
      <c r="N667" s="47"/>
      <c r="O667" s="1"/>
      <c r="P667" s="47"/>
      <c r="Q667" s="47"/>
      <c r="R667" s="1"/>
      <c r="S667" s="47"/>
      <c r="T667" s="47"/>
      <c r="U667" s="1"/>
      <c r="V667" s="47"/>
      <c r="W667" s="47"/>
      <c r="X667" s="1"/>
      <c r="Y667" s="47"/>
      <c r="Z667" s="47"/>
      <c r="AA667" s="1"/>
      <c r="AB667" s="47"/>
      <c r="AC667" s="47"/>
      <c r="AD667" s="47"/>
      <c r="AE667" s="47"/>
      <c r="AF667" s="1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</row>
    <row r="668" spans="1:44" ht="15.6">
      <c r="A668" s="47"/>
      <c r="B668" s="47"/>
      <c r="C668" s="103"/>
      <c r="D668" s="103"/>
      <c r="E668" s="103"/>
      <c r="F668" s="103"/>
      <c r="G668" s="103"/>
      <c r="H668" s="103"/>
      <c r="I668" s="103"/>
      <c r="J668" s="47"/>
      <c r="K668" s="47"/>
      <c r="L668" s="1"/>
      <c r="M668" s="47"/>
      <c r="N668" s="47"/>
      <c r="O668" s="1"/>
      <c r="P668" s="47"/>
      <c r="Q668" s="47"/>
      <c r="R668" s="1"/>
      <c r="S668" s="47"/>
      <c r="T668" s="47"/>
      <c r="U668" s="1"/>
      <c r="V668" s="47"/>
      <c r="W668" s="47"/>
      <c r="X668" s="1"/>
      <c r="Y668" s="47"/>
      <c r="Z668" s="47"/>
      <c r="AA668" s="1"/>
      <c r="AB668" s="47"/>
      <c r="AC668" s="47"/>
      <c r="AD668" s="47"/>
      <c r="AE668" s="47"/>
      <c r="AF668" s="1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</row>
    <row r="669" spans="1:44" ht="15" customHeight="1">
      <c r="L669" s="1"/>
      <c r="O669" s="1"/>
      <c r="R669" s="1"/>
      <c r="U669" s="1"/>
      <c r="X669" s="1"/>
      <c r="AA669" s="1"/>
      <c r="AF669" s="1"/>
    </row>
    <row r="670" spans="1:44" ht="15" customHeight="1">
      <c r="L670" s="1"/>
      <c r="O670" s="1"/>
      <c r="R670" s="1"/>
      <c r="U670" s="1"/>
      <c r="X670" s="1"/>
      <c r="AA670" s="1"/>
      <c r="AF670" s="1"/>
    </row>
    <row r="671" spans="1:44" ht="15" customHeight="1">
      <c r="L671" s="1"/>
      <c r="O671" s="1"/>
      <c r="R671" s="1"/>
      <c r="U671" s="1"/>
      <c r="X671" s="1"/>
      <c r="AA671" s="1"/>
      <c r="AF671" s="1"/>
    </row>
    <row r="672" spans="1:44" ht="15" customHeight="1">
      <c r="L672" s="1"/>
      <c r="O672" s="1"/>
      <c r="R672" s="1"/>
      <c r="U672" s="1"/>
      <c r="X672" s="1"/>
      <c r="AA672" s="1"/>
      <c r="AF672" s="1"/>
    </row>
    <row r="673" spans="12:32" ht="15" customHeight="1">
      <c r="L673" s="1"/>
      <c r="O673" s="1"/>
      <c r="R673" s="1"/>
      <c r="U673" s="1"/>
      <c r="X673" s="1"/>
      <c r="AA673" s="1"/>
      <c r="AF673" s="1"/>
    </row>
    <row r="674" spans="12:32" ht="15" customHeight="1">
      <c r="L674" s="1"/>
      <c r="O674" s="1"/>
      <c r="R674" s="1"/>
      <c r="U674" s="1"/>
      <c r="X674" s="1"/>
      <c r="AA674" s="1"/>
      <c r="AF674" s="1"/>
    </row>
    <row r="675" spans="12:32" ht="15" customHeight="1">
      <c r="L675" s="1"/>
      <c r="O675" s="1"/>
      <c r="R675" s="1"/>
      <c r="U675" s="1"/>
      <c r="X675" s="1"/>
      <c r="AA675" s="1"/>
      <c r="AF675" s="1"/>
    </row>
    <row r="676" spans="12:32" ht="15" customHeight="1">
      <c r="L676" s="1"/>
      <c r="O676" s="1"/>
      <c r="R676" s="1"/>
      <c r="U676" s="1"/>
      <c r="X676" s="1"/>
      <c r="AA676" s="1"/>
      <c r="AF676" s="1"/>
    </row>
    <row r="677" spans="12:32" ht="15" customHeight="1">
      <c r="L677" s="1"/>
      <c r="O677" s="1"/>
      <c r="R677" s="1"/>
      <c r="U677" s="1"/>
      <c r="X677" s="1"/>
      <c r="AA677" s="1"/>
      <c r="AF677" s="1"/>
    </row>
  </sheetData>
  <mergeCells count="115">
    <mergeCell ref="Y138:Z138"/>
    <mergeCell ref="P138:Q138"/>
    <mergeCell ref="J117:K117"/>
    <mergeCell ref="M124:N124"/>
    <mergeCell ref="P124:Q124"/>
    <mergeCell ref="S124:T124"/>
    <mergeCell ref="V124:W124"/>
    <mergeCell ref="Y124:Z124"/>
    <mergeCell ref="J124:K124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M96:N96"/>
    <mergeCell ref="V96:W96"/>
    <mergeCell ref="Y96:Z96"/>
    <mergeCell ref="S96:T96"/>
    <mergeCell ref="J96:K96"/>
    <mergeCell ref="M103:N103"/>
    <mergeCell ref="P103:Q103"/>
    <mergeCell ref="S103:T103"/>
    <mergeCell ref="V103:W103"/>
    <mergeCell ref="J103:K103"/>
    <mergeCell ref="M110:N110"/>
    <mergeCell ref="P110:Q110"/>
    <mergeCell ref="S110:T110"/>
    <mergeCell ref="V110:W110"/>
    <mergeCell ref="Y110:Z110"/>
    <mergeCell ref="J110:K110"/>
    <mergeCell ref="M117:N117"/>
    <mergeCell ref="P117:Q117"/>
    <mergeCell ref="S117:T117"/>
    <mergeCell ref="V117:W117"/>
    <mergeCell ref="Y117:Z117"/>
    <mergeCell ref="Y82:Z82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61:T61"/>
    <mergeCell ref="V61:W61"/>
    <mergeCell ref="J54:K54"/>
    <mergeCell ref="M54:N54"/>
    <mergeCell ref="V54:W54"/>
    <mergeCell ref="Y54:Z54"/>
    <mergeCell ref="J61:K61"/>
    <mergeCell ref="Y61:Z61"/>
    <mergeCell ref="S54:T54"/>
    <mergeCell ref="P61:Q61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S40:T40"/>
    <mergeCell ref="V40:W40"/>
    <mergeCell ref="Y40:Z40"/>
    <mergeCell ref="M12:N12"/>
    <mergeCell ref="P12:Q12"/>
    <mergeCell ref="V12:W12"/>
    <mergeCell ref="J12:K12"/>
    <mergeCell ref="P19:Q19"/>
    <mergeCell ref="V19:W19"/>
    <mergeCell ref="Y19:Z19"/>
    <mergeCell ref="M19:N19"/>
    <mergeCell ref="J19:K19"/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</mergeCells>
  <phoneticPr fontId="26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zoomScale="70" zoomScaleNormal="70" workbookViewId="0">
      <pane ySplit="4" topLeftCell="A5" activePane="bottomLeft" state="frozen"/>
      <selection pane="bottomLeft" activeCell="Y13" sqref="Y13"/>
    </sheetView>
  </sheetViews>
  <sheetFormatPr defaultColWidth="11.19921875" defaultRowHeight="15" customHeight="1"/>
  <cols>
    <col min="1" max="1" width="5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4.8984375" customWidth="1"/>
    <col min="12" max="12" width="12.69921875" style="48" bestFit="1" customWidth="1"/>
    <col min="13" max="13" width="11.59765625" customWidth="1"/>
    <col min="14" max="14" width="11.59765625" style="48" customWidth="1"/>
    <col min="15" max="16" width="11.59765625" customWidth="1"/>
    <col min="17" max="22" width="4.09765625" customWidth="1"/>
    <col min="23" max="23" width="5.09765625" customWidth="1"/>
  </cols>
  <sheetData>
    <row r="1" spans="1:23" s="154" customFormat="1" ht="35.25" customHeight="1" thickBot="1">
      <c r="A1" s="272" t="s">
        <v>548</v>
      </c>
      <c r="B1" s="264"/>
      <c r="C1" s="264"/>
      <c r="D1" s="264"/>
      <c r="E1" s="273" t="s">
        <v>563</v>
      </c>
      <c r="F1" s="273"/>
      <c r="G1" s="273" t="s">
        <v>567</v>
      </c>
      <c r="H1" s="273"/>
      <c r="I1" s="264" t="s">
        <v>556</v>
      </c>
      <c r="J1" s="264"/>
      <c r="K1" s="264" t="s">
        <v>564</v>
      </c>
      <c r="L1" s="264"/>
      <c r="M1" s="264" t="s">
        <v>566</v>
      </c>
      <c r="N1" s="264"/>
      <c r="O1" s="264" t="s">
        <v>0</v>
      </c>
      <c r="P1" s="265"/>
    </row>
    <row r="2" spans="1:23" ht="18" customHeight="1" thickBot="1">
      <c r="B2" s="147"/>
      <c r="C2" s="148"/>
      <c r="D2" s="191"/>
      <c r="E2" s="149"/>
      <c r="F2" s="199"/>
      <c r="G2" s="148"/>
      <c r="H2" s="191"/>
      <c r="I2" s="150"/>
      <c r="J2" s="200"/>
      <c r="K2" s="151"/>
      <c r="L2" s="201"/>
      <c r="M2" s="147"/>
      <c r="N2" s="202"/>
      <c r="O2" s="152"/>
      <c r="P2" s="148"/>
    </row>
    <row r="3" spans="1:23" ht="15.75" customHeight="1" thickBot="1">
      <c r="A3" s="277" t="s">
        <v>551</v>
      </c>
      <c r="B3" s="268" t="s">
        <v>552</v>
      </c>
      <c r="C3" s="268" t="s">
        <v>518</v>
      </c>
      <c r="D3" s="279" t="s">
        <v>524</v>
      </c>
      <c r="E3" s="268" t="s">
        <v>519</v>
      </c>
      <c r="F3" s="266" t="s">
        <v>525</v>
      </c>
      <c r="G3" s="268" t="s">
        <v>520</v>
      </c>
      <c r="H3" s="266" t="s">
        <v>526</v>
      </c>
      <c r="I3" s="268" t="s">
        <v>521</v>
      </c>
      <c r="J3" s="266" t="s">
        <v>527</v>
      </c>
      <c r="K3" s="268" t="s">
        <v>522</v>
      </c>
      <c r="L3" s="266" t="s">
        <v>528</v>
      </c>
      <c r="M3" s="268" t="s">
        <v>523</v>
      </c>
      <c r="N3" s="266" t="s">
        <v>529</v>
      </c>
      <c r="O3" s="268" t="s">
        <v>553</v>
      </c>
      <c r="P3" s="270" t="s">
        <v>554</v>
      </c>
      <c r="Q3" s="274" t="s">
        <v>547</v>
      </c>
      <c r="R3" s="275"/>
      <c r="S3" s="275"/>
      <c r="T3" s="275"/>
      <c r="U3" s="275"/>
      <c r="V3" s="275"/>
      <c r="W3" s="276"/>
    </row>
    <row r="4" spans="1:23" ht="15.75" customHeight="1" thickBot="1">
      <c r="A4" s="300"/>
      <c r="B4" s="297"/>
      <c r="C4" s="297"/>
      <c r="D4" s="301"/>
      <c r="E4" s="297"/>
      <c r="F4" s="299"/>
      <c r="G4" s="297"/>
      <c r="H4" s="299"/>
      <c r="I4" s="297"/>
      <c r="J4" s="299"/>
      <c r="K4" s="297"/>
      <c r="L4" s="299"/>
      <c r="M4" s="297"/>
      <c r="N4" s="299"/>
      <c r="O4" s="297"/>
      <c r="P4" s="298"/>
      <c r="Q4" s="156" t="s">
        <v>530</v>
      </c>
      <c r="R4" s="157" t="s">
        <v>531</v>
      </c>
      <c r="S4" s="157" t="s">
        <v>532</v>
      </c>
      <c r="T4" s="157" t="s">
        <v>533</v>
      </c>
      <c r="U4" s="157" t="s">
        <v>534</v>
      </c>
      <c r="V4" s="157" t="s">
        <v>535</v>
      </c>
      <c r="W4" s="158" t="s">
        <v>536</v>
      </c>
    </row>
    <row r="5" spans="1:23" ht="18.75" customHeight="1">
      <c r="A5" s="212">
        <v>45168</v>
      </c>
      <c r="B5" s="142" t="str">
        <f>'非偏鄉國中(素)'!AD5</f>
        <v>A3</v>
      </c>
      <c r="C5" s="142" t="str">
        <f>'非偏鄉國中(素)'!AE5</f>
        <v>拌飯特餐</v>
      </c>
      <c r="D5" s="195" t="str">
        <f>'非偏鄉國中(素)'!AF5</f>
        <v xml:space="preserve">米     </v>
      </c>
      <c r="E5" s="142" t="str">
        <f>'非偏鄉國中(素)'!AG5</f>
        <v>鳳梨毛豆</v>
      </c>
      <c r="F5" s="195" t="str">
        <f>'非偏鄉國中(素)'!AH5</f>
        <v xml:space="preserve">冷凍毛豆仁 鳳梨罐頭 芹菜 素肉  </v>
      </c>
      <c r="G5" s="142" t="str">
        <f>'非偏鄉國中(素)'!AI5</f>
        <v>拌飯配料</v>
      </c>
      <c r="H5" s="195" t="str">
        <f>'非偏鄉國中(素)'!AJ5</f>
        <v xml:space="preserve">胡蘿蔔 甘藍 冷凍玉米粒 薑 素香鬆 </v>
      </c>
      <c r="I5" s="142" t="str">
        <f>'非偏鄉國中(素)'!AK5</f>
        <v>咖哩花椰</v>
      </c>
      <c r="J5" s="195" t="str">
        <f>'非偏鄉國中(素)'!AL5</f>
        <v xml:space="preserve">冷凍花椰菜 薑 咖哩粉 豆包  </v>
      </c>
      <c r="K5" s="142" t="str">
        <f>'非偏鄉國中(素)'!AM5</f>
        <v>時蔬</v>
      </c>
      <c r="L5" s="195" t="str">
        <f>'非偏鄉國中(素)'!AN5</f>
        <v xml:space="preserve">蔬菜 薑    </v>
      </c>
      <c r="M5" s="142" t="str">
        <f>'非偏鄉國中(素)'!AO5</f>
        <v>蘿蔔素丸湯</v>
      </c>
      <c r="N5" s="195" t="str">
        <f>'非偏鄉國中(素)'!AP5</f>
        <v xml:space="preserve">素丸 白蘿蔔 薑   </v>
      </c>
      <c r="O5" s="142" t="str">
        <f>'非偏鄉國中(素)'!AQ5</f>
        <v>點心</v>
      </c>
      <c r="P5" s="142">
        <f>'非偏鄉國中(素)'!AR5</f>
        <v>0</v>
      </c>
      <c r="Q5" s="307">
        <f>'非偏鄉國中(素)'!AS5</f>
        <v>5.2</v>
      </c>
      <c r="R5" s="307">
        <f>'非偏鄉國中(素)'!AT5</f>
        <v>2.4500000000000002</v>
      </c>
      <c r="S5" s="307">
        <f>'非偏鄉國中(素)'!AU5</f>
        <v>2.2999999999999998</v>
      </c>
      <c r="T5" s="307">
        <f>'非偏鄉國中(素)'!AV5</f>
        <v>2.375</v>
      </c>
      <c r="U5" s="307">
        <f>'非偏鄉國中(素)'!AW5</f>
        <v>0</v>
      </c>
      <c r="V5" s="307">
        <f>'非偏鄉國中(素)'!AX5</f>
        <v>0.1</v>
      </c>
      <c r="W5" s="307">
        <f>'非偏鄉國中(素)'!AY5</f>
        <v>718.125</v>
      </c>
    </row>
    <row r="6" spans="1:23" ht="18.75" customHeight="1">
      <c r="A6" s="213">
        <f>A5+1</f>
        <v>45169</v>
      </c>
      <c r="B6" s="189" t="str">
        <f>'非偏鄉國中(素)'!AD12</f>
        <v>A4</v>
      </c>
      <c r="C6" s="189" t="str">
        <f>'非偏鄉國中(素)'!AE12</f>
        <v>糙米飯</v>
      </c>
      <c r="D6" s="196" t="str">
        <f>'非偏鄉國中(素)'!AF12</f>
        <v xml:space="preserve">米 糙米    </v>
      </c>
      <c r="E6" s="189" t="str">
        <f>'非偏鄉國中(素)'!AG12</f>
        <v>打拋干丁</v>
      </c>
      <c r="F6" s="196" t="str">
        <f>'非偏鄉國中(素)'!AH12</f>
        <v xml:space="preserve">豆干 刈薯 九層塔 胡蘿蔔 大番茄 </v>
      </c>
      <c r="G6" s="189" t="str">
        <f>'非偏鄉國中(素)'!AI12</f>
        <v>奶香雙菇</v>
      </c>
      <c r="H6" s="196" t="str">
        <f>'非偏鄉國中(素)'!AJ12</f>
        <v xml:space="preserve">秀珍菇 鴻喜菇 甜椒(紅皮) 素肉絲 奶油(固態) </v>
      </c>
      <c r="I6" s="189" t="str">
        <f>'非偏鄉國中(素)'!AK12</f>
        <v>筍干油腐</v>
      </c>
      <c r="J6" s="196" t="str">
        <f>'非偏鄉國中(素)'!AL12</f>
        <v xml:space="preserve">四角油豆腐 麻竹筍干 胡蘿蔔 薑  </v>
      </c>
      <c r="K6" s="189" t="str">
        <f>'非偏鄉國中(素)'!AM12</f>
        <v>時蔬</v>
      </c>
      <c r="L6" s="196" t="str">
        <f>'非偏鄉國中(素)'!AN12</f>
        <v xml:space="preserve">蔬菜 薑    </v>
      </c>
      <c r="M6" s="189" t="str">
        <f>'非偏鄉國中(素)'!AO12</f>
        <v>綠豆湯</v>
      </c>
      <c r="N6" s="196" t="str">
        <f>'非偏鄉國中(素)'!AP12</f>
        <v xml:space="preserve">綠豆 紅砂糖    </v>
      </c>
      <c r="O6" s="189" t="str">
        <f>'非偏鄉國中(素)'!AQ12</f>
        <v>點心</v>
      </c>
      <c r="P6" s="189">
        <f>'非偏鄉國中(素)'!AR12</f>
        <v>0</v>
      </c>
      <c r="Q6" s="308">
        <f>'非偏鄉國中(素)'!AS12</f>
        <v>5.8</v>
      </c>
      <c r="R6" s="308">
        <f>'非偏鄉國中(素)'!AT12</f>
        <v>2.7</v>
      </c>
      <c r="S6" s="308">
        <f>'非偏鄉國中(素)'!AU12</f>
        <v>1.97</v>
      </c>
      <c r="T6" s="308">
        <f>'非偏鄉國中(素)'!AV12</f>
        <v>2.335</v>
      </c>
      <c r="U6" s="308">
        <f>'非偏鄉國中(素)'!AW12</f>
        <v>0</v>
      </c>
      <c r="V6" s="308">
        <f>'非偏鄉國中(素)'!AX12</f>
        <v>0</v>
      </c>
      <c r="W6" s="308">
        <f>'非偏鄉國中(素)'!AY12</f>
        <v>762.82500000000005</v>
      </c>
    </row>
    <row r="7" spans="1:23" ht="18.75" customHeight="1" thickBot="1">
      <c r="A7" s="214">
        <f t="shared" ref="A7:A27" si="0">A6+1</f>
        <v>45170</v>
      </c>
      <c r="B7" s="190" t="str">
        <f>'非偏鄉國中(素)'!AD19</f>
        <v>A5</v>
      </c>
      <c r="C7" s="190" t="str">
        <f>'非偏鄉國中(素)'!AE19</f>
        <v>紅藜飯</v>
      </c>
      <c r="D7" s="197" t="str">
        <f>'非偏鄉國中(素)'!AF19</f>
        <v xml:space="preserve">米 紅藜    </v>
      </c>
      <c r="E7" s="190" t="str">
        <f>'非偏鄉國中(素)'!AG19</f>
        <v>堅果麵腸</v>
      </c>
      <c r="F7" s="197" t="str">
        <f>'非偏鄉國中(素)'!AH19</f>
        <v xml:space="preserve">麵腸 時蔬 腰果 南瓜子 薑 </v>
      </c>
      <c r="G7" s="190" t="str">
        <f>'非偏鄉國中(素)'!AI19</f>
        <v>關東煮</v>
      </c>
      <c r="H7" s="197" t="str">
        <f>'非偏鄉國中(素)'!AJ19</f>
        <v xml:space="preserve">油豆腐 白蘿蔔 玉米 胡蘿蔔 素黑輪 </v>
      </c>
      <c r="I7" s="190" t="str">
        <f>'非偏鄉國中(素)'!AK19</f>
        <v>沙茶寬粉</v>
      </c>
      <c r="J7" s="197" t="str">
        <f>'非偏鄉國中(素)'!AL19</f>
        <v xml:space="preserve">寬粉 時蔬 乾木耳 薑 素沙茶醬 </v>
      </c>
      <c r="K7" s="190" t="str">
        <f>'非偏鄉國中(素)'!AM19</f>
        <v>時蔬</v>
      </c>
      <c r="L7" s="197" t="str">
        <f>'非偏鄉國中(素)'!AN19</f>
        <v xml:space="preserve">蔬菜 薑    </v>
      </c>
      <c r="M7" s="190" t="str">
        <f>'非偏鄉國中(素)'!AO19</f>
        <v>時瓜湯</v>
      </c>
      <c r="N7" s="197" t="str">
        <f>'非偏鄉國中(素)'!AP19</f>
        <v xml:space="preserve">時瓜 胡蘿蔔 薑 素羊肉  </v>
      </c>
      <c r="O7" s="190" t="str">
        <f>'非偏鄉國中(素)'!AQ19</f>
        <v>點心</v>
      </c>
      <c r="P7" s="190" t="str">
        <f>'非偏鄉國中(素)'!AR19</f>
        <v>有機豆奶</v>
      </c>
      <c r="Q7" s="309">
        <f>'非偏鄉國中(素)'!AS19</f>
        <v>6.1764705882352944</v>
      </c>
      <c r="R7" s="309">
        <f>'非偏鄉國中(素)'!AT19</f>
        <v>2.6909090909090914</v>
      </c>
      <c r="S7" s="309">
        <f>'非偏鄉國中(素)'!AU19</f>
        <v>2.2000000000000002</v>
      </c>
      <c r="T7" s="309">
        <f>'非偏鄉國中(素)'!AV19</f>
        <v>2.4454545454545458</v>
      </c>
      <c r="U7" s="309">
        <f>'非偏鄉國中(素)'!AW19</f>
        <v>0</v>
      </c>
      <c r="V7" s="309">
        <f>'非偏鄉國中(素)'!AX19</f>
        <v>0</v>
      </c>
      <c r="W7" s="309">
        <f>'非偏鄉國中(素)'!AY19</f>
        <v>799.2165775401071</v>
      </c>
    </row>
    <row r="8" spans="1:23" ht="18.75" customHeight="1">
      <c r="A8" s="175">
        <f>A7+3</f>
        <v>45173</v>
      </c>
      <c r="B8" s="179" t="str">
        <f>'非偏鄉國中(素)'!AD26</f>
        <v>B1</v>
      </c>
      <c r="C8" s="180" t="str">
        <f>'非偏鄉國中(素)'!AE26</f>
        <v>白米飯</v>
      </c>
      <c r="D8" s="215" t="str">
        <f>'非偏鄉國中(素)'!AF26</f>
        <v xml:space="preserve">米     </v>
      </c>
      <c r="E8" s="180" t="str">
        <f>'非偏鄉國中(素)'!AG26</f>
        <v>回鍋若片</v>
      </c>
      <c r="F8" s="215" t="str">
        <f>'非偏鄉國中(素)'!AH26</f>
        <v xml:space="preserve">素肉片 時蔬 胡蘿蔔 冷凍毛豆仁 薑 </v>
      </c>
      <c r="G8" s="180" t="str">
        <f>'非偏鄉國中(素)'!AI26</f>
        <v>蛋香白菜</v>
      </c>
      <c r="H8" s="215" t="str">
        <f>'非偏鄉國中(素)'!AJ26</f>
        <v xml:space="preserve">雞蛋 結球白菜 胡蘿蔔 薑 素火腿 </v>
      </c>
      <c r="I8" s="180" t="str">
        <f>'非偏鄉國中(素)'!AK26</f>
        <v>蜜汁豆干</v>
      </c>
      <c r="J8" s="215" t="str">
        <f>'非偏鄉國中(素)'!AL26</f>
        <v xml:space="preserve">芝麻(熟) 豆干 薑 滷包  </v>
      </c>
      <c r="K8" s="180" t="str">
        <f>'非偏鄉國中(素)'!AM26</f>
        <v>時蔬</v>
      </c>
      <c r="L8" s="215" t="str">
        <f>'非偏鄉國中(素)'!AN26</f>
        <v xml:space="preserve">蔬菜 薑    </v>
      </c>
      <c r="M8" s="180" t="str">
        <f>'非偏鄉國中(素)'!AO26</f>
        <v>時蔬湯</v>
      </c>
      <c r="N8" s="215" t="str">
        <f>'非偏鄉國中(素)'!AP26</f>
        <v xml:space="preserve">時蔬 薑 枸杞 素羊肉  </v>
      </c>
      <c r="O8" s="180" t="str">
        <f>'非偏鄉國中(素)'!AQ26</f>
        <v>點心</v>
      </c>
      <c r="P8" s="180">
        <f>'非偏鄉國中(素)'!AR26</f>
        <v>0</v>
      </c>
      <c r="Q8" s="310">
        <f>'非偏鄉國中(素)'!AS26</f>
        <v>5</v>
      </c>
      <c r="R8" s="310">
        <f>'非偏鄉國中(素)'!AT26</f>
        <v>3.1909090909090909</v>
      </c>
      <c r="S8" s="310">
        <f>'非偏鄉國中(素)'!AU26</f>
        <v>2</v>
      </c>
      <c r="T8" s="310">
        <f>'非偏鄉國中(素)'!AV26</f>
        <v>2.5954545454545457</v>
      </c>
      <c r="U8" s="310">
        <f>'非偏鄉國中(素)'!AW26</f>
        <v>0</v>
      </c>
      <c r="V8" s="310">
        <f>'非偏鄉國中(素)'!AX26</f>
        <v>0</v>
      </c>
      <c r="W8" s="310">
        <f>'非偏鄉國中(素)'!AY26</f>
        <v>756.11363636363626</v>
      </c>
    </row>
    <row r="9" spans="1:23" ht="18.75" customHeight="1">
      <c r="A9" s="163">
        <f t="shared" si="0"/>
        <v>45174</v>
      </c>
      <c r="B9" s="181" t="str">
        <f>'非偏鄉國中(素)'!AD33</f>
        <v>B2</v>
      </c>
      <c r="C9" s="182" t="str">
        <f>'非偏鄉國中(素)'!AE33</f>
        <v>糙米飯</v>
      </c>
      <c r="D9" s="192" t="str">
        <f>'非偏鄉國中(素)'!AF33</f>
        <v xml:space="preserve">米 糙米    </v>
      </c>
      <c r="E9" s="182" t="str">
        <f>'非偏鄉國中(素)'!AG33</f>
        <v>香滷豆包</v>
      </c>
      <c r="F9" s="192" t="str">
        <f>'非偏鄉國中(素)'!AH33</f>
        <v xml:space="preserve">豆包 滷包    </v>
      </c>
      <c r="G9" s="182" t="str">
        <f>'非偏鄉國中(素)'!AI33</f>
        <v>番茄凍腐</v>
      </c>
      <c r="H9" s="192" t="str">
        <f>'非偏鄉國中(素)'!AJ33</f>
        <v xml:space="preserve">凍豆腐 大番茄 薑   </v>
      </c>
      <c r="I9" s="182" t="str">
        <f>'非偏鄉國中(素)'!AK33</f>
        <v>田園花椰</v>
      </c>
      <c r="J9" s="192" t="str">
        <f>'非偏鄉國中(素)'!AL33</f>
        <v xml:space="preserve">冷凍花椰菜 馬鈴薯 胡蘿蔔 薑  </v>
      </c>
      <c r="K9" s="182" t="str">
        <f>'非偏鄉國中(素)'!AM33</f>
        <v>時蔬</v>
      </c>
      <c r="L9" s="192" t="str">
        <f>'非偏鄉國中(素)'!AN33</f>
        <v xml:space="preserve">蔬菜 薑    </v>
      </c>
      <c r="M9" s="182" t="str">
        <f>'非偏鄉國中(素)'!AO33</f>
        <v>味噌海芽湯</v>
      </c>
      <c r="N9" s="192" t="str">
        <f>'非偏鄉國中(素)'!AP33</f>
        <v xml:space="preserve">乾裙帶菜 味噌 白蘿蔔 薑  </v>
      </c>
      <c r="O9" s="182" t="str">
        <f>'非偏鄉國中(素)'!AQ33</f>
        <v>點心</v>
      </c>
      <c r="P9" s="182">
        <f>'非偏鄉國中(素)'!AR33</f>
        <v>0</v>
      </c>
      <c r="Q9" s="311">
        <f>'非偏鄉國中(素)'!AS33</f>
        <v>5.2</v>
      </c>
      <c r="R9" s="311">
        <f>'非偏鄉國中(素)'!AT33</f>
        <v>2.5625</v>
      </c>
      <c r="S9" s="311">
        <f>'非偏鄉國中(素)'!AU33</f>
        <v>2.13</v>
      </c>
      <c r="T9" s="311">
        <f>'非偏鄉國中(素)'!AV33</f>
        <v>2.3462499999999999</v>
      </c>
      <c r="U9" s="311">
        <f>'非偏鄉國中(素)'!AW33</f>
        <v>0</v>
      </c>
      <c r="V9" s="311">
        <f>'非偏鄉國中(素)'!AX33</f>
        <v>0</v>
      </c>
      <c r="W9" s="311">
        <f>'非偏鄉國中(素)'!AY33</f>
        <v>715.01874999999995</v>
      </c>
    </row>
    <row r="10" spans="1:23" ht="18.75" customHeight="1">
      <c r="A10" s="163">
        <f t="shared" si="0"/>
        <v>45175</v>
      </c>
      <c r="B10" s="181" t="str">
        <f>'非偏鄉國中(素)'!AD40</f>
        <v>B3</v>
      </c>
      <c r="C10" s="182" t="str">
        <f>'非偏鄉國中(素)'!AE40</f>
        <v>越式特餐</v>
      </c>
      <c r="D10" s="192" t="str">
        <f>'非偏鄉國中(素)'!AF40</f>
        <v xml:space="preserve">米粉     </v>
      </c>
      <c r="E10" s="182" t="str">
        <f>'非偏鄉國中(素)'!AG40</f>
        <v>特餐配料</v>
      </c>
      <c r="F10" s="192" t="str">
        <f>'非偏鄉國中(素)'!AH40</f>
        <v xml:space="preserve">百頁豆腐 甘藍 薑 九層塔  </v>
      </c>
      <c r="G10" s="182" t="str">
        <f>'非偏鄉國中(素)'!AI40</f>
        <v>豆包豆芽</v>
      </c>
      <c r="H10" s="192" t="str">
        <f>'非偏鄉國中(素)'!AJ40</f>
        <v xml:space="preserve">綠豆芽 豆包 薑   </v>
      </c>
      <c r="I10" s="182" t="str">
        <f>'非偏鄉國中(素)'!AK40</f>
        <v>香檸素丸</v>
      </c>
      <c r="J10" s="192" t="str">
        <f>'非偏鄉國中(素)'!AL40</f>
        <v xml:space="preserve">素丸     </v>
      </c>
      <c r="K10" s="182" t="str">
        <f>'非偏鄉國中(素)'!AM40</f>
        <v>時蔬</v>
      </c>
      <c r="L10" s="192" t="str">
        <f>'非偏鄉國中(素)'!AN40</f>
        <v xml:space="preserve">蔬菜 薑    </v>
      </c>
      <c r="M10" s="182" t="str">
        <f>'非偏鄉國中(素)'!AO40</f>
        <v>越式湯底</v>
      </c>
      <c r="N10" s="192" t="str">
        <f>'非偏鄉國中(素)'!AP40</f>
        <v xml:space="preserve">白蘿蔔 胡蘿蔔 檸檬汁 南薑  </v>
      </c>
      <c r="O10" s="182" t="str">
        <f>'非偏鄉國中(素)'!AQ40</f>
        <v>點心</v>
      </c>
      <c r="P10" s="182">
        <f>'非偏鄉國中(素)'!AR40</f>
        <v>0</v>
      </c>
      <c r="Q10" s="311">
        <f>'非偏鄉國中(素)'!AS40</f>
        <v>2</v>
      </c>
      <c r="R10" s="311">
        <f>'非偏鄉國中(素)'!AT40</f>
        <v>2.6</v>
      </c>
      <c r="S10" s="311">
        <f>'非偏鄉國中(素)'!AU40</f>
        <v>2.0100000000000002</v>
      </c>
      <c r="T10" s="311">
        <f>'非偏鄉國中(素)'!AV40</f>
        <v>2.3050000000000002</v>
      </c>
      <c r="U10" s="311">
        <f>'非偏鄉國中(素)'!AW40</f>
        <v>0</v>
      </c>
      <c r="V10" s="311">
        <f>'非偏鄉國中(素)'!AX40</f>
        <v>0</v>
      </c>
      <c r="W10" s="311">
        <f>'非偏鄉國中(素)'!AY40</f>
        <v>488.97500000000002</v>
      </c>
    </row>
    <row r="11" spans="1:23" ht="18.75" customHeight="1">
      <c r="A11" s="163">
        <f t="shared" si="0"/>
        <v>45176</v>
      </c>
      <c r="B11" s="181" t="str">
        <f>'非偏鄉國中(素)'!AD47</f>
        <v>B4</v>
      </c>
      <c r="C11" s="182" t="str">
        <f>'非偏鄉國中(素)'!AE47</f>
        <v>糙米飯</v>
      </c>
      <c r="D11" s="192" t="str">
        <f>'非偏鄉國中(素)'!AF47</f>
        <v xml:space="preserve">米 糙米    </v>
      </c>
      <c r="E11" s="182" t="str">
        <f>'非偏鄉國中(素)'!AG47</f>
        <v>沙茶油腐</v>
      </c>
      <c r="F11" s="192" t="str">
        <f>'非偏鄉國中(素)'!AH47</f>
        <v xml:space="preserve">四角油豆腐 油菜 素沙茶醬 胡蘿蔔 薑 </v>
      </c>
      <c r="G11" s="182" t="str">
        <f>'非偏鄉國中(素)'!AI47</f>
        <v>蔬香冬粉</v>
      </c>
      <c r="H11" s="192" t="str">
        <f>'非偏鄉國中(素)'!AJ47</f>
        <v xml:space="preserve">冬粉 素絞肉 時蔬 胡蘿蔔 乾木耳 </v>
      </c>
      <c r="I11" s="182" t="str">
        <f>'非偏鄉國中(素)'!AK47</f>
        <v>素火腿炒蛋</v>
      </c>
      <c r="J11" s="192" t="str">
        <f>'非偏鄉國中(素)'!AL47</f>
        <v xml:space="preserve">雞蛋 素火腿 薑 杏鮑菇  </v>
      </c>
      <c r="K11" s="182" t="str">
        <f>'非偏鄉國中(素)'!AM47</f>
        <v>時蔬</v>
      </c>
      <c r="L11" s="192" t="str">
        <f>'非偏鄉國中(素)'!AN47</f>
        <v xml:space="preserve">蔬菜 薑    </v>
      </c>
      <c r="M11" s="182" t="str">
        <f>'非偏鄉國中(素)'!AO47</f>
        <v>銀耳甜湯</v>
      </c>
      <c r="N11" s="192" t="str">
        <f>'非偏鄉國中(素)'!AP47</f>
        <v xml:space="preserve">乾銀耳 紅砂糖 枸杞   </v>
      </c>
      <c r="O11" s="182" t="str">
        <f>'非偏鄉國中(素)'!AQ47</f>
        <v>點心</v>
      </c>
      <c r="P11" s="182">
        <f>'非偏鄉國中(素)'!AR47</f>
        <v>0</v>
      </c>
      <c r="Q11" s="311">
        <f>'非偏鄉國中(素)'!AS47</f>
        <v>5.08</v>
      </c>
      <c r="R11" s="311">
        <f>'非偏鄉國中(素)'!AT47</f>
        <v>3.356060606060606</v>
      </c>
      <c r="S11" s="311">
        <f>'非偏鄉國中(素)'!AU47</f>
        <v>1.6500000000000001</v>
      </c>
      <c r="T11" s="311">
        <f>'非偏鄉國中(素)'!AV47</f>
        <v>2.5030303030303029</v>
      </c>
      <c r="U11" s="311">
        <f>'非偏鄉國中(素)'!AW47</f>
        <v>0</v>
      </c>
      <c r="V11" s="311">
        <f>'非偏鄉國中(素)'!AX47</f>
        <v>0</v>
      </c>
      <c r="W11" s="311">
        <f>'非偏鄉國中(素)'!AY47</f>
        <v>761.19090909090914</v>
      </c>
    </row>
    <row r="12" spans="1:23" ht="18.75" customHeight="1" thickBot="1">
      <c r="A12" s="167">
        <f t="shared" si="0"/>
        <v>45177</v>
      </c>
      <c r="B12" s="183" t="str">
        <f>'非偏鄉國中(素)'!AD54</f>
        <v>B5</v>
      </c>
      <c r="C12" s="184" t="str">
        <f>'非偏鄉國中(素)'!AE54</f>
        <v>小米飯</v>
      </c>
      <c r="D12" s="193" t="str">
        <f>'非偏鄉國中(素)'!AF54</f>
        <v xml:space="preserve">米 小米    </v>
      </c>
      <c r="E12" s="184" t="str">
        <f>'非偏鄉國中(素)'!AG54</f>
        <v>京醬豆包</v>
      </c>
      <c r="F12" s="193" t="str">
        <f>'非偏鄉國中(素)'!AH54</f>
        <v xml:space="preserve">豆包 時蔬 胡蘿蔔 甜麵醬  </v>
      </c>
      <c r="G12" s="184" t="str">
        <f>'非偏鄉國中(素)'!AI54</f>
        <v>塔香鮑菇</v>
      </c>
      <c r="H12" s="193" t="str">
        <f>'非偏鄉國中(素)'!AJ54</f>
        <v xml:space="preserve">杏鮑菇 薑 九層塔 麵腸  </v>
      </c>
      <c r="I12" s="184" t="str">
        <f>'非偏鄉國中(素)'!AK54</f>
        <v>芹香干片</v>
      </c>
      <c r="J12" s="193" t="str">
        <f>'非偏鄉國中(素)'!AL54</f>
        <v xml:space="preserve">豆干 芹菜 胡蘿蔔 薑  </v>
      </c>
      <c r="K12" s="184" t="str">
        <f>'非偏鄉國中(素)'!AM54</f>
        <v>時蔬</v>
      </c>
      <c r="L12" s="193" t="str">
        <f>'非偏鄉國中(素)'!AN54</f>
        <v xml:space="preserve">蔬菜 薑    </v>
      </c>
      <c r="M12" s="184" t="str">
        <f>'非偏鄉國中(素)'!AO54</f>
        <v>冬瓜湯</v>
      </c>
      <c r="N12" s="193" t="str">
        <f>'非偏鄉國中(素)'!AP54</f>
        <v xml:space="preserve">冬瓜 薑 素羊肉   </v>
      </c>
      <c r="O12" s="184" t="str">
        <f>'非偏鄉國中(素)'!AQ54</f>
        <v>點心</v>
      </c>
      <c r="P12" s="184" t="str">
        <f>'非偏鄉國中(素)'!AR54</f>
        <v>有機豆奶</v>
      </c>
      <c r="Q12" s="312">
        <f>'非偏鄉國中(素)'!AS54</f>
        <v>5.5333333333333332</v>
      </c>
      <c r="R12" s="312">
        <f>'非偏鄉國中(素)'!AT54</f>
        <v>3.3571428571428572</v>
      </c>
      <c r="S12" s="312">
        <f>'非偏鄉國中(素)'!AU54</f>
        <v>2.42</v>
      </c>
      <c r="T12" s="312">
        <f>'非偏鄉國中(素)'!AV54</f>
        <v>2.8885714285714288</v>
      </c>
      <c r="U12" s="312">
        <f>'非偏鄉國中(素)'!AW54</f>
        <v>0</v>
      </c>
      <c r="V12" s="312">
        <f>'非偏鄉國中(素)'!AX54</f>
        <v>0</v>
      </c>
      <c r="W12" s="312">
        <f>'非偏鄉國中(素)'!AY54</f>
        <v>829.60476190476197</v>
      </c>
    </row>
    <row r="13" spans="1:23" ht="18.75" customHeight="1">
      <c r="A13" s="159">
        <f>A12+3</f>
        <v>45180</v>
      </c>
      <c r="B13" s="185" t="str">
        <f>'非偏鄉國中(素)'!AD61</f>
        <v>C1</v>
      </c>
      <c r="C13" s="186" t="str">
        <f>'非偏鄉國中(素)'!AE61</f>
        <v>白米飯</v>
      </c>
      <c r="D13" s="194" t="str">
        <f>'非偏鄉國中(素)'!AF61</f>
        <v xml:space="preserve">米     </v>
      </c>
      <c r="E13" s="186" t="str">
        <f>'非偏鄉國中(素)'!AG61</f>
        <v>咖哩凍腐</v>
      </c>
      <c r="F13" s="194" t="str">
        <f>'非偏鄉國中(素)'!AH61</f>
        <v xml:space="preserve">凍豆腐 馬鈴薯 胡蘿蔔 咖哩粉  </v>
      </c>
      <c r="G13" s="186" t="str">
        <f>'非偏鄉國中(素)'!AI61</f>
        <v>蛋香玉菜</v>
      </c>
      <c r="H13" s="194" t="str">
        <f>'非偏鄉國中(素)'!AJ61</f>
        <v xml:space="preserve">雞蛋 甘藍 薑   </v>
      </c>
      <c r="I13" s="186" t="str">
        <f>'非偏鄉國中(素)'!AK61</f>
        <v>泰式素丸</v>
      </c>
      <c r="J13" s="194" t="str">
        <f>'非偏鄉國中(素)'!AL61</f>
        <v xml:space="preserve">素丸 泰式甜辣醬    </v>
      </c>
      <c r="K13" s="186" t="str">
        <f>'非偏鄉國中(素)'!AM61</f>
        <v>時蔬</v>
      </c>
      <c r="L13" s="194" t="str">
        <f>'非偏鄉國中(素)'!AN61</f>
        <v xml:space="preserve">蔬菜 薑    </v>
      </c>
      <c r="M13" s="186" t="str">
        <f>'非偏鄉國中(素)'!AO61</f>
        <v>羅宋湯</v>
      </c>
      <c r="N13" s="194" t="str">
        <f>'非偏鄉國中(素)'!AP61</f>
        <v xml:space="preserve">時蔬 芹菜 大番茄   </v>
      </c>
      <c r="O13" s="186" t="str">
        <f>'非偏鄉國中(素)'!AQ61</f>
        <v>點心</v>
      </c>
      <c r="P13" s="186">
        <f>'非偏鄉國中(素)'!AR61</f>
        <v>0</v>
      </c>
      <c r="Q13" s="313">
        <f>'非偏鄉國中(素)'!AS61</f>
        <v>5.2222222222222223</v>
      </c>
      <c r="R13" s="313">
        <f>'非偏鄉國中(素)'!AT61</f>
        <v>2.8</v>
      </c>
      <c r="S13" s="313">
        <f>'非偏鄉國中(素)'!AU61</f>
        <v>1.75</v>
      </c>
      <c r="T13" s="313">
        <f>'非偏鄉國中(素)'!AV61</f>
        <v>2.2749999999999999</v>
      </c>
      <c r="U13" s="313">
        <f>'非偏鄉國中(素)'!AW61</f>
        <v>0</v>
      </c>
      <c r="V13" s="313">
        <f>'非偏鄉國中(素)'!AX61</f>
        <v>0</v>
      </c>
      <c r="W13" s="313">
        <f>'非偏鄉國中(素)'!AY61</f>
        <v>721.68055555555554</v>
      </c>
    </row>
    <row r="14" spans="1:23" ht="18.75" customHeight="1">
      <c r="A14" s="163">
        <f t="shared" si="0"/>
        <v>45181</v>
      </c>
      <c r="B14" s="181" t="str">
        <f>'非偏鄉國中(素)'!AD68</f>
        <v>C2</v>
      </c>
      <c r="C14" s="182" t="str">
        <f>'非偏鄉國中(素)'!AE68</f>
        <v>糙米飯</v>
      </c>
      <c r="D14" s="192" t="str">
        <f>'非偏鄉國中(素)'!AF68</f>
        <v xml:space="preserve">米 糙米    </v>
      </c>
      <c r="E14" s="182" t="str">
        <f>'非偏鄉國中(素)'!AG68</f>
        <v>醬瓜豆干</v>
      </c>
      <c r="F14" s="192" t="str">
        <f>'非偏鄉國中(素)'!AH68</f>
        <v xml:space="preserve">豆干 醃漬花胡瓜 胡蘿蔔 薑  </v>
      </c>
      <c r="G14" s="182" t="str">
        <f>'非偏鄉國中(素)'!AI68</f>
        <v>鮮燴時蔬</v>
      </c>
      <c r="H14" s="192" t="str">
        <f>'非偏鄉國中(素)'!AJ68</f>
        <v xml:space="preserve">冷凍玉米筍 素肉片 脆筍 秀珍菇 薑 </v>
      </c>
      <c r="I14" s="182" t="str">
        <f>'非偏鄉國中(素)'!AK68</f>
        <v>豆包瓜粒</v>
      </c>
      <c r="J14" s="192" t="str">
        <f>'非偏鄉國中(素)'!AL68</f>
        <v xml:space="preserve">豆包 冬瓜 胡蘿蔔 薑  </v>
      </c>
      <c r="K14" s="182" t="str">
        <f>'非偏鄉國中(素)'!AM68</f>
        <v>時蔬</v>
      </c>
      <c r="L14" s="192" t="str">
        <f>'非偏鄉國中(素)'!AN68</f>
        <v xml:space="preserve">蔬菜 薑    </v>
      </c>
      <c r="M14" s="182" t="str">
        <f>'非偏鄉國中(素)'!AO68</f>
        <v>時蔬湯</v>
      </c>
      <c r="N14" s="192" t="str">
        <f>'非偏鄉國中(素)'!AP68</f>
        <v xml:space="preserve">時蔬 胡蘿蔔 薑 素羊肉  </v>
      </c>
      <c r="O14" s="182" t="str">
        <f>'非偏鄉國中(素)'!AQ68</f>
        <v>點心</v>
      </c>
      <c r="P14" s="182">
        <f>'非偏鄉國中(素)'!AR68</f>
        <v>0</v>
      </c>
      <c r="Q14" s="311">
        <f>'非偏鄉國中(素)'!AS68</f>
        <v>5</v>
      </c>
      <c r="R14" s="311">
        <f>'非偏鄉國中(素)'!AT68</f>
        <v>2.5333333333333332</v>
      </c>
      <c r="S14" s="311">
        <f>'非偏鄉國中(素)'!AU68</f>
        <v>2.5</v>
      </c>
      <c r="T14" s="311">
        <f>'非偏鄉國中(素)'!AV68</f>
        <v>2.5166666666666666</v>
      </c>
      <c r="U14" s="311">
        <f>'非偏鄉國中(素)'!AW68</f>
        <v>0</v>
      </c>
      <c r="V14" s="311">
        <f>'非偏鄉國中(素)'!AX68</f>
        <v>0</v>
      </c>
      <c r="W14" s="311">
        <f>'非偏鄉國中(素)'!AY68</f>
        <v>715.75</v>
      </c>
    </row>
    <row r="15" spans="1:23" ht="18.75" customHeight="1">
      <c r="A15" s="163">
        <f t="shared" si="0"/>
        <v>45182</v>
      </c>
      <c r="B15" s="181" t="str">
        <f>'非偏鄉國中(素)'!AD75</f>
        <v>C3</v>
      </c>
      <c r="C15" s="182" t="str">
        <f>'非偏鄉國中(素)'!AE75</f>
        <v>丼飯特餐</v>
      </c>
      <c r="D15" s="192" t="str">
        <f>'非偏鄉國中(素)'!AF75</f>
        <v xml:space="preserve">米 糙米    </v>
      </c>
      <c r="E15" s="182" t="str">
        <f>'非偏鄉國中(素)'!AG75</f>
        <v>滷煎蒸炒蛋</v>
      </c>
      <c r="F15" s="192" t="str">
        <f>'非偏鄉國中(素)'!AH75</f>
        <v xml:space="preserve">雞蛋     </v>
      </c>
      <c r="G15" s="182" t="str">
        <f>'非偏鄉國中(素)'!AI75</f>
        <v>丼飯配料</v>
      </c>
      <c r="H15" s="192" t="str">
        <f>'非偏鄉國中(素)'!AJ75</f>
        <v xml:space="preserve">素絞肉 時蔬 胡蘿蔔 冷凍玉米粒 海苔絲 </v>
      </c>
      <c r="I15" s="182" t="str">
        <f>'非偏鄉國中(素)'!AK75</f>
        <v>鐵板油腐</v>
      </c>
      <c r="J15" s="192" t="str">
        <f>'非偏鄉國中(素)'!AL75</f>
        <v xml:space="preserve">四角油豆腐 甜椒(青皮) 胡蘿蔔 薑  </v>
      </c>
      <c r="K15" s="182" t="str">
        <f>'非偏鄉國中(素)'!AM75</f>
        <v>時蔬</v>
      </c>
      <c r="L15" s="192" t="str">
        <f>'非偏鄉國中(素)'!AN75</f>
        <v xml:space="preserve">蔬菜 薑    </v>
      </c>
      <c r="M15" s="182" t="str">
        <f>'非偏鄉國中(素)'!AO75</f>
        <v>大醬湯</v>
      </c>
      <c r="N15" s="192" t="str">
        <f>'非偏鄉國中(素)'!AP75</f>
        <v xml:space="preserve">時蔬 味噌    </v>
      </c>
      <c r="O15" s="182" t="str">
        <f>'非偏鄉國中(素)'!AQ75</f>
        <v>點心</v>
      </c>
      <c r="P15" s="182">
        <f>'非偏鄉國中(素)'!AR75</f>
        <v>0</v>
      </c>
      <c r="Q15" s="311">
        <f>'非偏鄉國中(素)'!AS75</f>
        <v>5.2352941176470589</v>
      </c>
      <c r="R15" s="311">
        <f>'非偏鄉國中(素)'!AT75</f>
        <v>2.7272727272727275</v>
      </c>
      <c r="S15" s="311">
        <f>'非偏鄉國中(素)'!AU75</f>
        <v>1.65</v>
      </c>
      <c r="T15" s="311">
        <f>'非偏鄉國中(素)'!AV75</f>
        <v>2.1886363636363635</v>
      </c>
      <c r="U15" s="311">
        <f>'非偏鄉國中(素)'!AW75</f>
        <v>0</v>
      </c>
      <c r="V15" s="311">
        <f>'非偏鄉國中(素)'!AX75</f>
        <v>0</v>
      </c>
      <c r="W15" s="311">
        <f>'非偏鄉國中(素)'!AY75</f>
        <v>710.75467914438514</v>
      </c>
    </row>
    <row r="16" spans="1:23" ht="18.75" customHeight="1">
      <c r="A16" s="163">
        <f t="shared" si="0"/>
        <v>45183</v>
      </c>
      <c r="B16" s="181" t="str">
        <f>'非偏鄉國中(素)'!AD82</f>
        <v>C4</v>
      </c>
      <c r="C16" s="182" t="str">
        <f>'非偏鄉國中(素)'!AE82</f>
        <v>糙米飯</v>
      </c>
      <c r="D16" s="192" t="str">
        <f>'非偏鄉國中(素)'!AF82</f>
        <v xml:space="preserve">米 糙米    </v>
      </c>
      <c r="E16" s="182" t="str">
        <f>'非偏鄉國中(素)'!AG82</f>
        <v>筍乾麵腸</v>
      </c>
      <c r="F16" s="192" t="str">
        <f>'非偏鄉國中(素)'!AH82</f>
        <v xml:space="preserve">麵腸 麻竹筍干 胡蘿蔔 薑  </v>
      </c>
      <c r="G16" s="182" t="str">
        <f>'非偏鄉國中(素)'!AI82</f>
        <v>麻婆豆腐</v>
      </c>
      <c r="H16" s="192" t="str">
        <f>'非偏鄉國中(素)'!AJ82</f>
        <v xml:space="preserve">豆腐 胡蘿蔔 素絞肉 薑  </v>
      </c>
      <c r="I16" s="182" t="str">
        <f>'非偏鄉國中(素)'!AK82</f>
        <v>清炒季豆</v>
      </c>
      <c r="J16" s="192" t="str">
        <f>'非偏鄉國中(素)'!AL82</f>
        <v xml:space="preserve">冷凍菜豆(莢) 胡蘿蔔 薑   </v>
      </c>
      <c r="K16" s="182" t="str">
        <f>'非偏鄉國中(素)'!AM82</f>
        <v>時蔬</v>
      </c>
      <c r="L16" s="192" t="str">
        <f>'非偏鄉國中(素)'!AN82</f>
        <v xml:space="preserve">蔬菜 薑    </v>
      </c>
      <c r="M16" s="182" t="str">
        <f>'非偏鄉國中(素)'!AO82</f>
        <v>麥仁甜湯</v>
      </c>
      <c r="N16" s="192" t="str">
        <f>'非偏鄉國中(素)'!AP82</f>
        <v xml:space="preserve">大麥仁 紅砂糖    </v>
      </c>
      <c r="O16" s="182" t="str">
        <f>'非偏鄉國中(素)'!AQ82</f>
        <v>點心</v>
      </c>
      <c r="P16" s="182">
        <f>'非偏鄉國中(素)'!AR82</f>
        <v>0</v>
      </c>
      <c r="Q16" s="311">
        <f>'非偏鄉國中(素)'!AS82</f>
        <v>6</v>
      </c>
      <c r="R16" s="311">
        <f>'非偏鄉國中(素)'!AT82</f>
        <v>2.4642857142857144</v>
      </c>
      <c r="S16" s="311">
        <f>'非偏鄉國中(素)'!AU82</f>
        <v>1.9</v>
      </c>
      <c r="T16" s="311">
        <f>'非偏鄉國中(素)'!AV82</f>
        <v>2.1821428571428569</v>
      </c>
      <c r="U16" s="311">
        <f>'非偏鄉國中(素)'!AW82</f>
        <v>0</v>
      </c>
      <c r="V16" s="311">
        <f>'非偏鄉國中(素)'!AX82</f>
        <v>0</v>
      </c>
      <c r="W16" s="311">
        <f>'非偏鄉國中(素)'!AY82</f>
        <v>750.51785714285711</v>
      </c>
    </row>
    <row r="17" spans="1:23" ht="18.75" customHeight="1" thickBot="1">
      <c r="A17" s="167">
        <f t="shared" si="0"/>
        <v>45184</v>
      </c>
      <c r="B17" s="183" t="str">
        <f>'非偏鄉國中(素)'!AD89</f>
        <v>C5</v>
      </c>
      <c r="C17" s="184" t="str">
        <f>'非偏鄉國中(素)'!AE89</f>
        <v>紫米飯</v>
      </c>
      <c r="D17" s="193" t="str">
        <f>'非偏鄉國中(素)'!AF89</f>
        <v xml:space="preserve">米 黑秈糯米    </v>
      </c>
      <c r="E17" s="184" t="str">
        <f>'非偏鄉國中(素)'!AG89</f>
        <v>豆包甘藍</v>
      </c>
      <c r="F17" s="193" t="str">
        <f>'非偏鄉國中(素)'!AH89</f>
        <v xml:space="preserve">豆包 甘藍 薑   </v>
      </c>
      <c r="G17" s="184" t="str">
        <f>'非偏鄉國中(素)'!AI89</f>
        <v>玉米炒蛋</v>
      </c>
      <c r="H17" s="193" t="str">
        <f>'非偏鄉國中(素)'!AJ89</f>
        <v xml:space="preserve">雞蛋 冷凍玉米粒 胡蘿蔔 薑  </v>
      </c>
      <c r="I17" s="184" t="str">
        <f>'非偏鄉國中(素)'!AK89</f>
        <v>菇拌海帶</v>
      </c>
      <c r="J17" s="193" t="str">
        <f>'非偏鄉國中(素)'!AL89</f>
        <v xml:space="preserve">乾裙帶菜 金針菇 薑   </v>
      </c>
      <c r="K17" s="184" t="str">
        <f>'非偏鄉國中(素)'!AM89</f>
        <v>時蔬</v>
      </c>
      <c r="L17" s="193" t="str">
        <f>'非偏鄉國中(素)'!AN89</f>
        <v xml:space="preserve">蔬菜 薑    </v>
      </c>
      <c r="M17" s="184" t="str">
        <f>'非偏鄉國中(素)'!AO89</f>
        <v>四神湯</v>
      </c>
      <c r="N17" s="193" t="str">
        <f>'非偏鄉國中(素)'!AP89</f>
        <v xml:space="preserve">四神 白蘿蔔 薑   </v>
      </c>
      <c r="O17" s="184" t="str">
        <f>'非偏鄉國中(素)'!AQ89</f>
        <v>點心</v>
      </c>
      <c r="P17" s="184" t="str">
        <f>'非偏鄉國中(素)'!AR89</f>
        <v>有機豆奶</v>
      </c>
      <c r="Q17" s="312">
        <f>'非偏鄉國中(素)'!AS89</f>
        <v>6.7098039215686276</v>
      </c>
      <c r="R17" s="312">
        <f>'非偏鄉國中(素)'!AT89</f>
        <v>2.5757575757575757</v>
      </c>
      <c r="S17" s="312">
        <f>'非偏鄉國中(素)'!AU89</f>
        <v>3.0999999999999996</v>
      </c>
      <c r="T17" s="312">
        <f>'非偏鄉國中(素)'!AV89</f>
        <v>2.8378787878787879</v>
      </c>
      <c r="U17" s="312">
        <f>'非偏鄉國中(素)'!AW89</f>
        <v>0</v>
      </c>
      <c r="V17" s="312">
        <f>'非偏鄉國中(素)'!AX89</f>
        <v>0</v>
      </c>
      <c r="W17" s="312">
        <f>'非偏鄉國中(素)'!AY89</f>
        <v>868.07263814616749</v>
      </c>
    </row>
    <row r="18" spans="1:23" ht="18.75" customHeight="1">
      <c r="A18" s="159">
        <f>A17+3</f>
        <v>45187</v>
      </c>
      <c r="B18" s="187" t="str">
        <f>'非偏鄉國中(素)'!AD96</f>
        <v>D1</v>
      </c>
      <c r="C18" s="142" t="str">
        <f>'非偏鄉國中(素)'!AE96</f>
        <v>白米飯</v>
      </c>
      <c r="D18" s="195" t="str">
        <f>'非偏鄉國中(素)'!AF96</f>
        <v xml:space="preserve">米     </v>
      </c>
      <c r="E18" s="142" t="str">
        <f>'非偏鄉國中(素)'!AG96</f>
        <v>香炸豆包</v>
      </c>
      <c r="F18" s="195" t="str">
        <f>'非偏鄉國中(素)'!AH96</f>
        <v xml:space="preserve">豆包     </v>
      </c>
      <c r="G18" s="142" t="str">
        <f>'非偏鄉國中(素)'!AI96</f>
        <v>絞若冬瓜</v>
      </c>
      <c r="H18" s="195" t="str">
        <f>'非偏鄉國中(素)'!AJ96</f>
        <v xml:space="preserve">素肉 冬瓜 胡蘿蔔 薑  </v>
      </c>
      <c r="I18" s="142" t="str">
        <f>'非偏鄉國中(素)'!AK96</f>
        <v>毛豆干丁</v>
      </c>
      <c r="J18" s="195" t="str">
        <f>'非偏鄉國中(素)'!AL96</f>
        <v xml:space="preserve">冷凍毛豆仁 豆干 胡蘿蔔 生鮮花生仁 香油 </v>
      </c>
      <c r="K18" s="142" t="str">
        <f>'非偏鄉國中(素)'!AM96</f>
        <v>時蔬</v>
      </c>
      <c r="L18" s="195" t="str">
        <f>'非偏鄉國中(素)'!AN96</f>
        <v xml:space="preserve">蔬菜 薑    </v>
      </c>
      <c r="M18" s="142" t="str">
        <f>'非偏鄉國中(素)'!AO96</f>
        <v>蘿蔔湯</v>
      </c>
      <c r="N18" s="195" t="str">
        <f>'非偏鄉國中(素)'!AP96</f>
        <v xml:space="preserve">白蘿蔔 薑 素羊肉   </v>
      </c>
      <c r="O18" s="142" t="str">
        <f>'非偏鄉國中(素)'!AQ96</f>
        <v>點心</v>
      </c>
      <c r="P18" s="142">
        <f>'非偏鄉國中(素)'!AR96</f>
        <v>0</v>
      </c>
      <c r="Q18" s="307">
        <f>'非偏鄉國中(素)'!AS96</f>
        <v>5</v>
      </c>
      <c r="R18" s="307">
        <f>'非偏鄉國中(素)'!AT96</f>
        <v>3.3666666666666667</v>
      </c>
      <c r="S18" s="307">
        <f>'非偏鄉國中(素)'!AU96</f>
        <v>1.9</v>
      </c>
      <c r="T18" s="307">
        <f>'非偏鄉國中(素)'!AV96</f>
        <v>2.6333333333333333</v>
      </c>
      <c r="U18" s="307">
        <f>'非偏鄉國中(素)'!AW96</f>
        <v>0</v>
      </c>
      <c r="V18" s="307">
        <f>'非偏鄉國中(素)'!AX96</f>
        <v>0</v>
      </c>
      <c r="W18" s="307">
        <f>'非偏鄉國中(素)'!AY96</f>
        <v>768.5</v>
      </c>
    </row>
    <row r="19" spans="1:23" ht="18.75" customHeight="1">
      <c r="A19" s="163">
        <f t="shared" si="0"/>
        <v>45188</v>
      </c>
      <c r="B19" s="188" t="str">
        <f>'非偏鄉國中(素)'!AD103</f>
        <v>D2</v>
      </c>
      <c r="C19" s="189" t="str">
        <f>'非偏鄉國中(素)'!AE103</f>
        <v>糙米飯</v>
      </c>
      <c r="D19" s="196" t="str">
        <f>'非偏鄉國中(素)'!AF103</f>
        <v xml:space="preserve">米 糙米    </v>
      </c>
      <c r="E19" s="189" t="str">
        <f>'非偏鄉國中(素)'!AG103</f>
        <v>薑汁油腐</v>
      </c>
      <c r="F19" s="196" t="str">
        <f>'非偏鄉國中(素)'!AH103</f>
        <v xml:space="preserve">四角油豆腐 甘藍 薑   </v>
      </c>
      <c r="G19" s="189" t="str">
        <f>'非偏鄉國中(素)'!AI103</f>
        <v>塔香海根</v>
      </c>
      <c r="H19" s="196" t="str">
        <f>'非偏鄉國中(素)'!AJ103</f>
        <v xml:space="preserve">乾海帶 九層塔 素肉絲 薑  </v>
      </c>
      <c r="I19" s="189" t="str">
        <f>'非偏鄉國中(素)'!AK103</f>
        <v>紅仁炒蛋</v>
      </c>
      <c r="J19" s="196" t="str">
        <f>'非偏鄉國中(素)'!AL103</f>
        <v xml:space="preserve">雞蛋 胡蘿蔔 薑   </v>
      </c>
      <c r="K19" s="189" t="str">
        <f>'非偏鄉國中(素)'!AM103</f>
        <v>時蔬</v>
      </c>
      <c r="L19" s="196" t="str">
        <f>'非偏鄉國中(素)'!AN103</f>
        <v xml:space="preserve">蔬菜 薑    </v>
      </c>
      <c r="M19" s="189" t="str">
        <f>'非偏鄉國中(素)'!AO103</f>
        <v>時蔬湯</v>
      </c>
      <c r="N19" s="196" t="str">
        <f>'非偏鄉國中(素)'!AP103</f>
        <v xml:space="preserve">時蔬 素羊肉 薑 枸杞  </v>
      </c>
      <c r="O19" s="189" t="str">
        <f>'非偏鄉國中(素)'!AQ103</f>
        <v>點心</v>
      </c>
      <c r="P19" s="189">
        <f>'非偏鄉國中(素)'!AR103</f>
        <v>0</v>
      </c>
      <c r="Q19" s="308">
        <f>'非偏鄉國中(素)'!AS103</f>
        <v>5</v>
      </c>
      <c r="R19" s="308">
        <f>'非偏鄉國中(素)'!AT103</f>
        <v>2.1218181818181816</v>
      </c>
      <c r="S19" s="308">
        <f>'非偏鄉國中(素)'!AU103</f>
        <v>2.3039999999999998</v>
      </c>
      <c r="T19" s="308">
        <f>'非偏鄉國中(素)'!AV103</f>
        <v>2.2129090909090907</v>
      </c>
      <c r="U19" s="308">
        <f>'非偏鄉國中(素)'!AW103</f>
        <v>0</v>
      </c>
      <c r="V19" s="308">
        <f>'非偏鄉國中(素)'!AX103</f>
        <v>0</v>
      </c>
      <c r="W19" s="308">
        <f>'非偏鄉國中(素)'!AY103</f>
        <v>666.31727272727267</v>
      </c>
    </row>
    <row r="20" spans="1:23" ht="18.75" customHeight="1">
      <c r="A20" s="163">
        <f t="shared" si="0"/>
        <v>45189</v>
      </c>
      <c r="B20" s="188" t="str">
        <f>'非偏鄉國中(素)'!AD110</f>
        <v>D3</v>
      </c>
      <c r="C20" s="189" t="str">
        <f>'非偏鄉國中(素)'!AE110</f>
        <v>DIY潛艇堡餐</v>
      </c>
      <c r="D20" s="196" t="str">
        <f>'非偏鄉國中(素)'!AF110</f>
        <v xml:space="preserve">潛艇堡     </v>
      </c>
      <c r="E20" s="189" t="str">
        <f>'非偏鄉國中(素)'!AG110</f>
        <v>芹香素熱狗</v>
      </c>
      <c r="F20" s="196" t="str">
        <f>'非偏鄉國中(素)'!AH110</f>
        <v xml:space="preserve">素熱狗 芹菜 薑 胡椒鹽  </v>
      </c>
      <c r="G20" s="189" t="str">
        <f>'非偏鄉國中(素)'!AI110</f>
        <v>西式配料</v>
      </c>
      <c r="H20" s="196" t="str">
        <f>'非偏鄉國中(素)'!AJ110</f>
        <v xml:space="preserve">彎管麵 冷凍玉米粒 馬鈴薯 大番茄 冷凍毛豆仁 </v>
      </c>
      <c r="I20" s="189" t="str">
        <f>'非偏鄉國中(素)'!AK110</f>
        <v>麵筋花椰</v>
      </c>
      <c r="J20" s="196" t="str">
        <f>'非偏鄉國中(素)'!AL110</f>
        <v xml:space="preserve">冷凍花椰菜 胡蘿蔔 麵筋泡 金針菇 薑 </v>
      </c>
      <c r="K20" s="189" t="str">
        <f>'非偏鄉國中(素)'!AM110</f>
        <v>時蔬</v>
      </c>
      <c r="L20" s="196" t="str">
        <f>'非偏鄉國中(素)'!AN110</f>
        <v xml:space="preserve">蔬菜 薑    </v>
      </c>
      <c r="M20" s="189" t="str">
        <f>'非偏鄉國中(素)'!AO110</f>
        <v>南瓜濃湯</v>
      </c>
      <c r="N20" s="196" t="str">
        <f>'非偏鄉國中(素)'!AP110</f>
        <v xml:space="preserve">雞蛋 南瓜 玉米濃湯調理包 胡蘿蔔  </v>
      </c>
      <c r="O20" s="189" t="str">
        <f>'非偏鄉國中(素)'!AQ110</f>
        <v>點心</v>
      </c>
      <c r="P20" s="189">
        <f>'非偏鄉國中(素)'!AR110</f>
        <v>0</v>
      </c>
      <c r="Q20" s="308">
        <f>'非偏鄉國中(素)'!AS110</f>
        <v>3.0882352941176472</v>
      </c>
      <c r="R20" s="308">
        <f>'非偏鄉國中(素)'!AT110</f>
        <v>2.540151515151515</v>
      </c>
      <c r="S20" s="308">
        <f>'非偏鄉國中(素)'!AU110</f>
        <v>2.15</v>
      </c>
      <c r="T20" s="308">
        <f>'非偏鄉國中(素)'!AV110</f>
        <v>2.3450757575757573</v>
      </c>
      <c r="U20" s="308">
        <f>'非偏鄉國中(素)'!AW110</f>
        <v>0</v>
      </c>
      <c r="V20" s="308">
        <f>'非偏鄉國中(素)'!AX110</f>
        <v>0</v>
      </c>
      <c r="W20" s="308">
        <f>'非偏鄉國中(素)'!AY110</f>
        <v>565.966243315508</v>
      </c>
    </row>
    <row r="21" spans="1:23" ht="18.75" customHeight="1">
      <c r="A21" s="163">
        <f t="shared" si="0"/>
        <v>45190</v>
      </c>
      <c r="B21" s="188" t="str">
        <f>'非偏鄉國中(素)'!AD117</f>
        <v>D4</v>
      </c>
      <c r="C21" s="189" t="str">
        <f>'非偏鄉國中(素)'!AE117</f>
        <v>糙米飯</v>
      </c>
      <c r="D21" s="196" t="str">
        <f>'非偏鄉國中(素)'!AF117</f>
        <v xml:space="preserve">米 糙米    </v>
      </c>
      <c r="E21" s="189" t="str">
        <f>'非偏鄉國中(素)'!AG117</f>
        <v>三杯麵腸</v>
      </c>
      <c r="F21" s="196" t="str">
        <f>'非偏鄉國中(素)'!AH117</f>
        <v xml:space="preserve">麵腸 杏鮑菇 九層塔 胡蘿蔔 薑 </v>
      </c>
      <c r="G21" s="189" t="str">
        <f>'非偏鄉國中(素)'!AI117</f>
        <v>蛋香時蔬</v>
      </c>
      <c r="H21" s="196" t="str">
        <f>'非偏鄉國中(素)'!AJ117</f>
        <v xml:space="preserve">雞蛋 時蔬 乾香菇 薑  </v>
      </c>
      <c r="I21" s="189" t="str">
        <f>'非偏鄉國中(素)'!AK117</f>
        <v>時蔬冬粉</v>
      </c>
      <c r="J21" s="196" t="str">
        <f>'非偏鄉國中(素)'!AL117</f>
        <v xml:space="preserve">豆包 冬粉 時蔬 乾木耳 薑 </v>
      </c>
      <c r="K21" s="189" t="str">
        <f>'非偏鄉國中(素)'!AM117</f>
        <v>時蔬</v>
      </c>
      <c r="L21" s="196" t="str">
        <f>'非偏鄉國中(素)'!AN117</f>
        <v xml:space="preserve">蔬菜 薑    </v>
      </c>
      <c r="M21" s="189" t="str">
        <f>'非偏鄉國中(素)'!AO117</f>
        <v>紅豆紫米湯</v>
      </c>
      <c r="N21" s="196" t="str">
        <f>'非偏鄉國中(素)'!AP117</f>
        <v xml:space="preserve">紅豆 黑秈糯米 紅砂糖   </v>
      </c>
      <c r="O21" s="189" t="str">
        <f>'非偏鄉國中(素)'!AQ117</f>
        <v>點心</v>
      </c>
      <c r="P21" s="189">
        <f>'非偏鄉國中(素)'!AR117</f>
        <v>0</v>
      </c>
      <c r="Q21" s="308">
        <f>'非偏鄉國中(素)'!AS117</f>
        <v>6.5666666666666673</v>
      </c>
      <c r="R21" s="308">
        <f>'非偏鄉國中(素)'!AT117</f>
        <v>2.505194805194805</v>
      </c>
      <c r="S21" s="308">
        <f>'非偏鄉國中(素)'!AU117</f>
        <v>1.9000000000000001</v>
      </c>
      <c r="T21" s="308">
        <f>'非偏鄉國中(素)'!AV117</f>
        <v>2.2025974025974024</v>
      </c>
      <c r="U21" s="308">
        <f>'非偏鄉國中(素)'!AW117</f>
        <v>0</v>
      </c>
      <c r="V21" s="308">
        <f>'非偏鄉國中(素)'!AX117</f>
        <v>0</v>
      </c>
      <c r="W21" s="308">
        <f>'非偏鄉國中(素)'!AY117</f>
        <v>794.17316017316011</v>
      </c>
    </row>
    <row r="22" spans="1:23" ht="18.75" customHeight="1">
      <c r="A22" s="163">
        <f t="shared" si="0"/>
        <v>45191</v>
      </c>
      <c r="B22" s="188" t="str">
        <f>'非偏鄉國中(素)'!AD124</f>
        <v>D5</v>
      </c>
      <c r="C22" s="189" t="str">
        <f>'非偏鄉國中(素)'!AE124</f>
        <v>紫米飯</v>
      </c>
      <c r="D22" s="196" t="str">
        <f>'非偏鄉國中(素)'!AF124</f>
        <v xml:space="preserve">米 紫米飯    </v>
      </c>
      <c r="E22" s="189" t="str">
        <f>'非偏鄉國中(素)'!AG124</f>
        <v>洋芋豆干</v>
      </c>
      <c r="F22" s="196" t="str">
        <f>'非偏鄉國中(素)'!AH124</f>
        <v xml:space="preserve">豆干 馬鈴薯 胡蘿蔔 冷凍毛豆仁 薑 </v>
      </c>
      <c r="G22" s="189" t="str">
        <f>'非偏鄉國中(素)'!AI124</f>
        <v>鹹蛋玉菜</v>
      </c>
      <c r="H22" s="196" t="str">
        <f>'非偏鄉國中(素)'!AJ124</f>
        <v xml:space="preserve">甘藍 鴨鹹蛋 胡蘿蔔 薑  </v>
      </c>
      <c r="I22" s="189" t="str">
        <f>'非偏鄉國中(素)'!AK124</f>
        <v>蔬菜佃煮</v>
      </c>
      <c r="J22" s="196" t="str">
        <f>'非偏鄉國中(素)'!AL124</f>
        <v xml:space="preserve">胡蘿蔔 白蘿蔔 甜玉米 四角油豆腐 味醂 </v>
      </c>
      <c r="K22" s="189" t="str">
        <f>'非偏鄉國中(素)'!AM124</f>
        <v>時蔬</v>
      </c>
      <c r="L22" s="196" t="str">
        <f>'非偏鄉國中(素)'!AN124</f>
        <v xml:space="preserve">蔬菜 薑    </v>
      </c>
      <c r="M22" s="189" t="str">
        <f>'非偏鄉國中(素)'!AO124</f>
        <v>味噌豆腐湯</v>
      </c>
      <c r="N22" s="196" t="str">
        <f>'非偏鄉國中(素)'!AP124</f>
        <v xml:space="preserve">豆腐 味噌 時蔬   </v>
      </c>
      <c r="O22" s="189" t="str">
        <f>'非偏鄉國中(素)'!AQ124</f>
        <v>點心</v>
      </c>
      <c r="P22" s="189" t="str">
        <f>'非偏鄉國中(素)'!AR124</f>
        <v>有機豆奶</v>
      </c>
      <c r="Q22" s="308">
        <f>'非偏鄉國中(素)'!AS124</f>
        <v>5.4857142857142858</v>
      </c>
      <c r="R22" s="308">
        <f>'非偏鄉國中(素)'!AT124</f>
        <v>2.5477272727272728</v>
      </c>
      <c r="S22" s="308">
        <f>'非偏鄉國中(素)'!AU124</f>
        <v>1.95</v>
      </c>
      <c r="T22" s="308">
        <f>'非偏鄉國中(素)'!AV124</f>
        <v>2.2488636363636365</v>
      </c>
      <c r="U22" s="308">
        <f>'非偏鄉國中(素)'!AW124</f>
        <v>0</v>
      </c>
      <c r="V22" s="308">
        <f>'非偏鄉國中(素)'!AX124</f>
        <v>0</v>
      </c>
      <c r="W22" s="308">
        <f>'非偏鄉國中(素)'!AY124</f>
        <v>725.02840909090912</v>
      </c>
    </row>
    <row r="23" spans="1:23" ht="18.75" customHeight="1" thickBot="1">
      <c r="A23" s="208">
        <f t="shared" si="0"/>
        <v>45192</v>
      </c>
      <c r="B23" s="209" t="str">
        <f>'非偏鄉國中(素)'!AD131</f>
        <v>E5</v>
      </c>
      <c r="C23" s="210" t="str">
        <f>'非偏鄉國中(素)'!AE131</f>
        <v>燕麥飯</v>
      </c>
      <c r="D23" s="211" t="str">
        <f>'非偏鄉國中(素)'!AF131</f>
        <v xml:space="preserve">米 燕麥    </v>
      </c>
      <c r="E23" s="210" t="str">
        <f>'非偏鄉國中(素)'!AG131</f>
        <v>彩椒豆包</v>
      </c>
      <c r="F23" s="211" t="str">
        <f>'非偏鄉國中(素)'!AH131</f>
        <v>豆包 芹菜 胡蘿蔔 甜椒(黃皮) 薑 味噌</v>
      </c>
      <c r="G23" s="210" t="str">
        <f>'非偏鄉國中(素)'!AI131</f>
        <v>鮮菇豆腐</v>
      </c>
      <c r="H23" s="211" t="str">
        <f>'非偏鄉國中(素)'!AJ131</f>
        <v xml:space="preserve">鴻喜菇 豆腐 胡蘿蔔 薑  </v>
      </c>
      <c r="I23" s="210" t="str">
        <f>'非偏鄉國中(素)'!AK131</f>
        <v>鮮燴時瓜</v>
      </c>
      <c r="J23" s="211" t="str">
        <f>'非偏鄉國中(素)'!AL131</f>
        <v xml:space="preserve">枸杞 時瓜 胡蘿蔔 大蒜  </v>
      </c>
      <c r="K23" s="210" t="str">
        <f>'非偏鄉國中(素)'!AM131</f>
        <v>時蔬</v>
      </c>
      <c r="L23" s="211" t="str">
        <f>'非偏鄉國中(素)'!AN131</f>
        <v xml:space="preserve">蔬菜 薑    </v>
      </c>
      <c r="M23" s="210" t="str">
        <f>'非偏鄉國中(素)'!AO131</f>
        <v>金針粉絲湯</v>
      </c>
      <c r="N23" s="211" t="str">
        <f>'非偏鄉國中(素)'!AP131</f>
        <v xml:space="preserve">金針菜乾 冬粉 薑   </v>
      </c>
      <c r="O23" s="210" t="str">
        <f>'非偏鄉國中(素)'!AQ131</f>
        <v>點心</v>
      </c>
      <c r="P23" s="210">
        <f>'非偏鄉國中(素)'!AR131</f>
        <v>0</v>
      </c>
      <c r="Q23" s="314">
        <f>'非偏鄉國中(素)'!AS131</f>
        <v>5.4</v>
      </c>
      <c r="R23" s="314">
        <f>'非偏鄉國中(素)'!AT131</f>
        <v>2.166666666666667</v>
      </c>
      <c r="S23" s="314">
        <f>'非偏鄉國中(素)'!AU131</f>
        <v>2.1</v>
      </c>
      <c r="T23" s="314">
        <f>'非偏鄉國中(素)'!AV131</f>
        <v>2.1333333333333337</v>
      </c>
      <c r="U23" s="314">
        <f>'非偏鄉國中(素)'!AW131</f>
        <v>0</v>
      </c>
      <c r="V23" s="314">
        <f>'非偏鄉國中(素)'!AX131</f>
        <v>0</v>
      </c>
      <c r="W23" s="314">
        <f>'非偏鄉國中(素)'!AY131</f>
        <v>689</v>
      </c>
    </row>
    <row r="24" spans="1:23" ht="18.75" customHeight="1">
      <c r="A24" s="212">
        <f>A23+2</f>
        <v>45194</v>
      </c>
      <c r="B24" s="142" t="str">
        <f>'非偏鄉國中(素)'!AD138</f>
        <v>E1</v>
      </c>
      <c r="C24" s="142" t="str">
        <f>'非偏鄉國中(素)'!AE138</f>
        <v>白米飯</v>
      </c>
      <c r="D24" s="195" t="str">
        <f>'非偏鄉國中(素)'!AF138</f>
        <v xml:space="preserve">米     </v>
      </c>
      <c r="E24" s="142" t="str">
        <f>'非偏鄉國中(素)'!AG138</f>
        <v>茄汁麵腸</v>
      </c>
      <c r="F24" s="195" t="str">
        <f>'非偏鄉國中(素)'!AH138</f>
        <v xml:space="preserve">麵腸 甜椒(青皮) 胡蘿蔔 大番茄 薑 </v>
      </c>
      <c r="G24" s="142" t="str">
        <f>'非偏鄉國中(素)'!AI138</f>
        <v>海結凍腐</v>
      </c>
      <c r="H24" s="195" t="str">
        <f>'非偏鄉國中(素)'!AJ138</f>
        <v xml:space="preserve">乾海帶 凍豆腐 薑   </v>
      </c>
      <c r="I24" s="142" t="str">
        <f>'非偏鄉國中(素)'!AK138</f>
        <v>素火腿豆芽</v>
      </c>
      <c r="J24" s="195" t="str">
        <f>'非偏鄉國中(素)'!AL138</f>
        <v xml:space="preserve">綠豆芽 素火腿 芹菜 胡蘿蔔 薑 </v>
      </c>
      <c r="K24" s="142" t="str">
        <f>'非偏鄉國中(素)'!AM138</f>
        <v>時蔬</v>
      </c>
      <c r="L24" s="195" t="str">
        <f>'非偏鄉國中(素)'!AN138</f>
        <v xml:space="preserve">蔬菜 薑    </v>
      </c>
      <c r="M24" s="142" t="str">
        <f>'非偏鄉國中(素)'!AO138</f>
        <v>蘿蔔湯</v>
      </c>
      <c r="N24" s="195" t="str">
        <f>'非偏鄉國中(素)'!AP138</f>
        <v xml:space="preserve">白蘿蔔 胡蘿蔔 薑 素羊肉  </v>
      </c>
      <c r="O24" s="142" t="str">
        <f>'非偏鄉國中(素)'!AQ138</f>
        <v>點心</v>
      </c>
      <c r="P24" s="142">
        <f>'非偏鄉國中(素)'!AR138</f>
        <v>0</v>
      </c>
      <c r="Q24" s="307">
        <f>'非偏鄉國中(素)'!AS138</f>
        <v>5</v>
      </c>
      <c r="R24" s="307">
        <f>'非偏鄉國中(素)'!AT138</f>
        <v>2.5249999999999995</v>
      </c>
      <c r="S24" s="307">
        <f>'非偏鄉國中(素)'!AU138</f>
        <v>2.25</v>
      </c>
      <c r="T24" s="307">
        <f>'非偏鄉國中(素)'!AV138</f>
        <v>2.3874999999999997</v>
      </c>
      <c r="U24" s="307">
        <f>'非偏鄉國中(素)'!AW138</f>
        <v>0</v>
      </c>
      <c r="V24" s="307">
        <f>'非偏鄉國中(素)'!AX138</f>
        <v>0</v>
      </c>
      <c r="W24" s="307">
        <f>'非偏鄉國中(素)'!AY138</f>
        <v>703.0625</v>
      </c>
    </row>
    <row r="25" spans="1:23" ht="18.75" customHeight="1">
      <c r="A25" s="213">
        <f>A24+1</f>
        <v>45195</v>
      </c>
      <c r="B25" s="189" t="str">
        <f>'非偏鄉國中(素)'!AD145</f>
        <v>E2</v>
      </c>
      <c r="C25" s="189" t="str">
        <f>'非偏鄉國中(素)'!AE145</f>
        <v>糙米飯</v>
      </c>
      <c r="D25" s="196" t="str">
        <f>'非偏鄉國中(素)'!AF145</f>
        <v xml:space="preserve">米 糙米    </v>
      </c>
      <c r="E25" s="189" t="str">
        <f>'非偏鄉國中(素)'!AG145</f>
        <v>奶香油豆腐</v>
      </c>
      <c r="F25" s="196" t="str">
        <f>'非偏鄉國中(素)'!AH145</f>
        <v xml:space="preserve">油豆腐 甜椒(紅皮) 奶油(固態)   </v>
      </c>
      <c r="G25" s="189" t="str">
        <f>'非偏鄉國中(素)'!AI145</f>
        <v>刈薯炒蛋</v>
      </c>
      <c r="H25" s="196" t="str">
        <f>'非偏鄉國中(素)'!AJ145</f>
        <v xml:space="preserve">刈薯 雞蛋 胡蘿蔔   </v>
      </c>
      <c r="I25" s="189" t="str">
        <f>'非偏鄉國中(素)'!AK145</f>
        <v>麵筋玉菜</v>
      </c>
      <c r="J25" s="196" t="str">
        <f>'非偏鄉國中(素)'!AL145</f>
        <v xml:space="preserve">甘藍 胡蘿蔔 麵筋泡   </v>
      </c>
      <c r="K25" s="189" t="str">
        <f>'非偏鄉國中(素)'!AM145</f>
        <v>時蔬</v>
      </c>
      <c r="L25" s="196" t="str">
        <f>'非偏鄉國中(素)'!AN145</f>
        <v xml:space="preserve">蔬菜 薑    </v>
      </c>
      <c r="M25" s="189" t="str">
        <f>'非偏鄉國中(素)'!AO145</f>
        <v>紫菜素丸湯</v>
      </c>
      <c r="N25" s="196" t="str">
        <f>'非偏鄉國中(素)'!AP145</f>
        <v xml:space="preserve">紫菜 素丸 薑   </v>
      </c>
      <c r="O25" s="189" t="str">
        <f>'非偏鄉國中(素)'!AQ145</f>
        <v>點心</v>
      </c>
      <c r="P25" s="189">
        <f>'非偏鄉國中(素)'!AR145</f>
        <v>0</v>
      </c>
      <c r="Q25" s="308">
        <f>'非偏鄉國中(素)'!AS145</f>
        <v>5</v>
      </c>
      <c r="R25" s="308">
        <f>'非偏鄉國中(素)'!AT145</f>
        <v>2.5006060606060609</v>
      </c>
      <c r="S25" s="308">
        <f>'非偏鄉國中(素)'!AU145</f>
        <v>2</v>
      </c>
      <c r="T25" s="308">
        <f>'非偏鄉國中(素)'!AV145</f>
        <v>2.2503030303030305</v>
      </c>
      <c r="U25" s="308">
        <f>'非偏鄉國中(素)'!AW145</f>
        <v>0</v>
      </c>
      <c r="V25" s="308">
        <f>'非偏鄉國中(素)'!AX145</f>
        <v>0</v>
      </c>
      <c r="W25" s="308">
        <f>'非偏鄉國中(素)'!AY145</f>
        <v>688.80909090909086</v>
      </c>
    </row>
    <row r="26" spans="1:23" ht="18.75" customHeight="1">
      <c r="A26" s="213">
        <f t="shared" si="0"/>
        <v>45196</v>
      </c>
      <c r="B26" s="189" t="str">
        <f>'非偏鄉國中(素)'!AD152</f>
        <v>E3</v>
      </c>
      <c r="C26" s="189" t="str">
        <f>'非偏鄉國中(素)'!AE152</f>
        <v>刈包特餐</v>
      </c>
      <c r="D26" s="196" t="str">
        <f>'非偏鄉國中(素)'!AF152</f>
        <v xml:space="preserve">刈包     </v>
      </c>
      <c r="E26" s="189" t="str">
        <f>'非偏鄉國中(素)'!AG152</f>
        <v>香滷素排</v>
      </c>
      <c r="F26" s="196" t="str">
        <f>'非偏鄉國中(素)'!AH152</f>
        <v xml:space="preserve">素排 薑    </v>
      </c>
      <c r="G26" s="189" t="str">
        <f>'非偏鄉國中(素)'!AI152</f>
        <v>刈包配料</v>
      </c>
      <c r="H26" s="196" t="str">
        <f>'非偏鄉國中(素)'!AJ152</f>
        <v xml:space="preserve">麵腸 酸菜 胡蘿蔔   </v>
      </c>
      <c r="I26" s="189" t="str">
        <f>'非偏鄉國中(素)'!AK152</f>
        <v>塔香鮑菇</v>
      </c>
      <c r="J26" s="196" t="str">
        <f>'非偏鄉國中(素)'!AL152</f>
        <v xml:space="preserve">杏鮑菇 薑 九層塔   </v>
      </c>
      <c r="K26" s="189" t="str">
        <f>'非偏鄉國中(素)'!AM152</f>
        <v>時蔬</v>
      </c>
      <c r="L26" s="196" t="str">
        <f>'非偏鄉國中(素)'!AN152</f>
        <v xml:space="preserve">蔬菜 薑    </v>
      </c>
      <c r="M26" s="189" t="str">
        <f>'非偏鄉國中(素)'!AO152</f>
        <v>麵線糊</v>
      </c>
      <c r="N26" s="196" t="str">
        <f>'非偏鄉國中(素)'!AP152</f>
        <v xml:space="preserve">麵線 素肉 脆筍 胡蘿蔔 乾木耳 </v>
      </c>
      <c r="O26" s="189" t="str">
        <f>'非偏鄉國中(素)'!AQ152</f>
        <v>點心</v>
      </c>
      <c r="P26" s="189">
        <f>'非偏鄉國中(素)'!AR152</f>
        <v>0</v>
      </c>
      <c r="Q26" s="308">
        <f>'非偏鄉國中(素)'!AS152</f>
        <v>4.333333333333333</v>
      </c>
      <c r="R26" s="308">
        <f>'非偏鄉國中(素)'!AT152</f>
        <v>2.5476190476190479</v>
      </c>
      <c r="S26" s="308">
        <f>'非偏鄉國中(素)'!AU152</f>
        <v>1.92</v>
      </c>
      <c r="T26" s="308">
        <f>'非偏鄉國中(素)'!AV152</f>
        <v>2.2338095238095237</v>
      </c>
      <c r="U26" s="308">
        <f>'非偏鄉國中(素)'!AW152</f>
        <v>0</v>
      </c>
      <c r="V26" s="308">
        <f>'非偏鄉國中(素)'!AX152</f>
        <v>0</v>
      </c>
      <c r="W26" s="308">
        <f>'非偏鄉國中(素)'!AY152</f>
        <v>642.92619047619041</v>
      </c>
    </row>
    <row r="27" spans="1:23" ht="16.8" thickBot="1">
      <c r="A27" s="214">
        <f t="shared" si="0"/>
        <v>45197</v>
      </c>
      <c r="B27" s="190" t="str">
        <f>'非偏鄉國中(素)'!AD159</f>
        <v>E4</v>
      </c>
      <c r="C27" s="190" t="str">
        <f>'非偏鄉國中(素)'!AE159</f>
        <v>糙米飯</v>
      </c>
      <c r="D27" s="197" t="str">
        <f>'非偏鄉國中(素)'!AF159</f>
        <v xml:space="preserve">米 糙米    </v>
      </c>
      <c r="E27" s="190" t="str">
        <f>'非偏鄉國中(素)'!AG159</f>
        <v>照燒麵輪</v>
      </c>
      <c r="F27" s="197" t="str">
        <f>'非偏鄉國中(素)'!AH159</f>
        <v xml:space="preserve">麵輪 白蘿蔔 胡蘿蔔 醬油 紅砂糖 </v>
      </c>
      <c r="G27" s="190" t="str">
        <f>'非偏鄉國中(素)'!AI159</f>
        <v>絲瓜蛋豆腐</v>
      </c>
      <c r="H27" s="197" t="str">
        <f>'非偏鄉國中(素)'!AJ159</f>
        <v xml:space="preserve">豆腐 絲瓜 雞蛋 薑  </v>
      </c>
      <c r="I27" s="190" t="str">
        <f>'非偏鄉國中(素)'!AK159</f>
        <v>奶油白菜</v>
      </c>
      <c r="J27" s="197" t="str">
        <f>'非偏鄉國中(素)'!AL159</f>
        <v>結球白菜 鴻喜菇 甜椒(紅皮) 甜椒(黃皮) 豆包 奶油(固態)</v>
      </c>
      <c r="K27" s="190" t="str">
        <f>'非偏鄉國中(素)'!AM159</f>
        <v>時蔬</v>
      </c>
      <c r="L27" s="197" t="str">
        <f>'非偏鄉國中(素)'!AN159</f>
        <v xml:space="preserve">蔬菜 薑    </v>
      </c>
      <c r="M27" s="190" t="str">
        <f>'非偏鄉國中(素)'!AO159</f>
        <v>椰漿西米露</v>
      </c>
      <c r="N27" s="197" t="str">
        <f>'非偏鄉國中(素)'!AP159</f>
        <v xml:space="preserve">西谷米 紅砂糖 椰漿   </v>
      </c>
      <c r="O27" s="190" t="str">
        <f>'非偏鄉國中(素)'!AQ159</f>
        <v>點心</v>
      </c>
      <c r="P27" s="190" t="str">
        <f>'非偏鄉國中(素)'!AR159</f>
        <v>有機豆奶</v>
      </c>
      <c r="Q27" s="309">
        <f>'非偏鄉國中(素)'!AS159</f>
        <v>6.333333333333333</v>
      </c>
      <c r="R27" s="309">
        <f>'非偏鄉國中(素)'!AT159</f>
        <v>2.4733766233766232</v>
      </c>
      <c r="S27" s="309">
        <f>'非偏鄉國中(素)'!AU159</f>
        <v>2.15</v>
      </c>
      <c r="T27" s="309">
        <f>'非偏鄉國中(素)'!AV159</f>
        <v>2.3116883116883118</v>
      </c>
      <c r="U27" s="309">
        <f>'非偏鄉國中(素)'!AW159</f>
        <v>0</v>
      </c>
      <c r="V27" s="309">
        <f>'非偏鄉國中(素)'!AX159</f>
        <v>0</v>
      </c>
      <c r="W27" s="309">
        <f>'非偏鄉國中(素)'!AY159</f>
        <v>786.61255411255411</v>
      </c>
    </row>
    <row r="28" spans="1:23" ht="15.6">
      <c r="B28" s="3"/>
      <c r="C28" s="3"/>
      <c r="D28" s="198"/>
      <c r="E28" s="3"/>
      <c r="F28" s="198"/>
      <c r="G28" s="3"/>
      <c r="H28" s="198"/>
      <c r="I28" s="3"/>
      <c r="J28" s="198"/>
      <c r="K28" s="3"/>
      <c r="L28" s="198"/>
      <c r="M28" s="3"/>
      <c r="N28" s="198"/>
      <c r="O28" s="3"/>
      <c r="P28" s="3"/>
    </row>
    <row r="29" spans="1:23" s="154" customFormat="1" ht="16.2">
      <c r="A29" s="177" t="s">
        <v>537</v>
      </c>
      <c r="B29" s="177"/>
    </row>
    <row r="30" spans="1:23" s="154" customFormat="1" ht="16.2">
      <c r="A30" s="178" t="s">
        <v>538</v>
      </c>
    </row>
    <row r="31" spans="1:23" s="154" customFormat="1" ht="16.5" customHeight="1">
      <c r="A31" s="203" t="s">
        <v>543</v>
      </c>
      <c r="B31" s="154" t="s">
        <v>539</v>
      </c>
    </row>
    <row r="32" spans="1:23" s="154" customFormat="1" ht="16.5" customHeight="1">
      <c r="A32" s="203" t="s">
        <v>544</v>
      </c>
      <c r="B32" s="154" t="s">
        <v>541</v>
      </c>
    </row>
    <row r="33" spans="1:16" s="154" customFormat="1" ht="16.5" customHeight="1">
      <c r="A33" s="203" t="s">
        <v>545</v>
      </c>
      <c r="B33" s="154" t="s">
        <v>562</v>
      </c>
    </row>
    <row r="34" spans="1:16" s="154" customFormat="1" ht="15" customHeight="1">
      <c r="A34" s="153" t="s">
        <v>546</v>
      </c>
      <c r="B34" s="154" t="s">
        <v>569</v>
      </c>
    </row>
    <row r="35" spans="1:16" ht="15.6">
      <c r="B35" s="3"/>
      <c r="C35" s="3"/>
      <c r="D35" s="198"/>
      <c r="E35" s="3"/>
      <c r="F35" s="198"/>
      <c r="G35" s="3"/>
      <c r="H35" s="198"/>
      <c r="I35" s="3"/>
      <c r="J35" s="198"/>
      <c r="K35" s="3"/>
      <c r="L35" s="198"/>
      <c r="M35" s="3"/>
      <c r="N35" s="198"/>
      <c r="O35" s="3"/>
      <c r="P35" s="3"/>
    </row>
    <row r="36" spans="1:16" ht="15.6">
      <c r="B36" s="3"/>
      <c r="C36" s="3"/>
      <c r="D36" s="198"/>
      <c r="E36" s="3"/>
      <c r="F36" s="198"/>
      <c r="G36" s="3"/>
      <c r="H36" s="198"/>
      <c r="I36" s="3"/>
      <c r="J36" s="198"/>
      <c r="K36" s="3"/>
      <c r="L36" s="198"/>
      <c r="M36" s="3"/>
      <c r="N36" s="198"/>
      <c r="O36" s="3"/>
      <c r="P36" s="3"/>
    </row>
    <row r="37" spans="1:16" ht="15.6">
      <c r="B37" s="3"/>
      <c r="C37" s="3"/>
      <c r="D37" s="198"/>
      <c r="E37" s="3"/>
      <c r="F37" s="198"/>
      <c r="G37" s="3"/>
      <c r="H37" s="198"/>
      <c r="I37" s="3"/>
      <c r="J37" s="198"/>
      <c r="K37" s="3"/>
      <c r="L37" s="198"/>
      <c r="M37" s="3"/>
      <c r="N37" s="198"/>
      <c r="O37" s="3"/>
      <c r="P37" s="3"/>
    </row>
    <row r="38" spans="1:16" ht="15.6">
      <c r="B38" s="3"/>
      <c r="C38" s="3"/>
      <c r="D38" s="198"/>
      <c r="E38" s="3"/>
      <c r="F38" s="198"/>
      <c r="G38" s="3"/>
      <c r="H38" s="198"/>
      <c r="I38" s="3"/>
      <c r="J38" s="198"/>
      <c r="K38" s="3"/>
      <c r="L38" s="198"/>
      <c r="M38" s="3"/>
      <c r="N38" s="198"/>
      <c r="O38" s="3"/>
      <c r="P38" s="3"/>
    </row>
    <row r="39" spans="1:16" ht="15.6">
      <c r="B39" s="3"/>
      <c r="C39" s="3"/>
      <c r="D39" s="198"/>
      <c r="E39" s="3"/>
      <c r="F39" s="198"/>
      <c r="G39" s="3"/>
      <c r="H39" s="198"/>
      <c r="I39" s="3"/>
      <c r="J39" s="198"/>
      <c r="K39" s="3"/>
      <c r="L39" s="198"/>
      <c r="M39" s="3"/>
      <c r="N39" s="198"/>
      <c r="O39" s="3"/>
      <c r="P39" s="3"/>
    </row>
    <row r="40" spans="1:16" ht="15.6">
      <c r="B40" s="3"/>
      <c r="C40" s="3"/>
      <c r="D40" s="198"/>
      <c r="E40" s="3"/>
      <c r="F40" s="198"/>
      <c r="G40" s="3"/>
      <c r="H40" s="198"/>
      <c r="I40" s="3"/>
      <c r="J40" s="198"/>
      <c r="K40" s="3"/>
      <c r="L40" s="198"/>
      <c r="M40" s="3"/>
      <c r="N40" s="198"/>
      <c r="O40" s="3"/>
      <c r="P40" s="3"/>
    </row>
    <row r="41" spans="1:16" ht="15.6">
      <c r="B41" s="3"/>
      <c r="C41" s="3"/>
      <c r="D41" s="198"/>
      <c r="E41" s="3"/>
      <c r="F41" s="198"/>
      <c r="G41" s="3"/>
      <c r="H41" s="198"/>
      <c r="I41" s="3"/>
      <c r="J41" s="198"/>
      <c r="K41" s="3"/>
      <c r="L41" s="198"/>
      <c r="M41" s="3"/>
      <c r="N41" s="198"/>
      <c r="O41" s="3"/>
      <c r="P41" s="3"/>
    </row>
    <row r="42" spans="1:16" ht="15.6">
      <c r="B42" s="3"/>
      <c r="C42" s="3"/>
      <c r="D42" s="198"/>
      <c r="E42" s="3"/>
      <c r="F42" s="198"/>
      <c r="G42" s="3"/>
      <c r="H42" s="198"/>
      <c r="I42" s="3"/>
      <c r="J42" s="198"/>
      <c r="K42" s="3"/>
      <c r="L42" s="198"/>
      <c r="M42" s="3"/>
      <c r="N42" s="198"/>
      <c r="O42" s="3"/>
      <c r="P42" s="3"/>
    </row>
    <row r="43" spans="1:16" ht="15.6">
      <c r="B43" s="3"/>
      <c r="C43" s="3"/>
      <c r="D43" s="198"/>
      <c r="E43" s="3"/>
      <c r="F43" s="198"/>
      <c r="G43" s="3"/>
      <c r="H43" s="198"/>
      <c r="I43" s="3"/>
      <c r="J43" s="198"/>
      <c r="K43" s="3"/>
      <c r="L43" s="198"/>
      <c r="M43" s="3"/>
      <c r="N43" s="198"/>
      <c r="O43" s="3"/>
      <c r="P43" s="3"/>
    </row>
    <row r="44" spans="1:16" ht="15.6">
      <c r="B44" s="3"/>
      <c r="C44" s="3"/>
      <c r="D44" s="198"/>
      <c r="E44" s="3"/>
      <c r="F44" s="198"/>
      <c r="G44" s="3"/>
      <c r="H44" s="198"/>
      <c r="I44" s="3"/>
      <c r="J44" s="198"/>
      <c r="K44" s="3"/>
      <c r="L44" s="198"/>
      <c r="M44" s="3"/>
      <c r="N44" s="198"/>
      <c r="O44" s="3"/>
      <c r="P44" s="3"/>
    </row>
    <row r="45" spans="1:16" ht="15.6">
      <c r="B45" s="3"/>
      <c r="C45" s="3"/>
      <c r="D45" s="198"/>
      <c r="E45" s="3"/>
      <c r="F45" s="198"/>
      <c r="G45" s="3"/>
      <c r="H45" s="198"/>
      <c r="I45" s="3"/>
      <c r="J45" s="198"/>
      <c r="K45" s="3"/>
      <c r="L45" s="198"/>
      <c r="M45" s="3"/>
      <c r="N45" s="198"/>
      <c r="O45" s="3"/>
      <c r="P45" s="3"/>
    </row>
    <row r="46" spans="1:16" ht="15.6">
      <c r="B46" s="3"/>
      <c r="C46" s="3"/>
      <c r="D46" s="198"/>
      <c r="E46" s="3"/>
      <c r="F46" s="198"/>
      <c r="G46" s="3"/>
      <c r="H46" s="198"/>
      <c r="I46" s="3"/>
      <c r="J46" s="198"/>
      <c r="K46" s="3"/>
      <c r="L46" s="198"/>
      <c r="M46" s="3"/>
      <c r="N46" s="198"/>
      <c r="O46" s="3"/>
      <c r="P46" s="3"/>
    </row>
    <row r="47" spans="1:16" ht="15.6">
      <c r="B47" s="3"/>
      <c r="C47" s="3"/>
      <c r="D47" s="198"/>
      <c r="E47" s="3"/>
      <c r="F47" s="198"/>
      <c r="G47" s="3"/>
      <c r="H47" s="198"/>
      <c r="I47" s="3"/>
      <c r="J47" s="198"/>
      <c r="K47" s="3"/>
      <c r="L47" s="198"/>
      <c r="M47" s="3"/>
      <c r="N47" s="198"/>
      <c r="O47" s="3"/>
      <c r="P47" s="3"/>
    </row>
    <row r="48" spans="1:16" ht="15.6">
      <c r="B48" s="3"/>
      <c r="C48" s="3"/>
      <c r="D48" s="198"/>
      <c r="E48" s="3"/>
      <c r="F48" s="198"/>
      <c r="G48" s="3"/>
      <c r="H48" s="198"/>
      <c r="I48" s="3"/>
      <c r="J48" s="198"/>
      <c r="K48" s="3"/>
      <c r="L48" s="198"/>
      <c r="M48" s="3"/>
      <c r="N48" s="198"/>
      <c r="O48" s="3"/>
      <c r="P48" s="3"/>
    </row>
    <row r="49" spans="2:16" ht="15.6">
      <c r="B49" s="3"/>
      <c r="C49" s="3"/>
      <c r="D49" s="198"/>
      <c r="E49" s="3"/>
      <c r="F49" s="198"/>
      <c r="G49" s="3"/>
      <c r="H49" s="198"/>
      <c r="I49" s="3"/>
      <c r="J49" s="198"/>
      <c r="K49" s="3"/>
      <c r="L49" s="198"/>
      <c r="M49" s="3"/>
      <c r="N49" s="198"/>
      <c r="O49" s="3"/>
      <c r="P49" s="3"/>
    </row>
    <row r="50" spans="2:16" ht="15.6">
      <c r="B50" s="3"/>
      <c r="C50" s="3"/>
      <c r="D50" s="198"/>
      <c r="E50" s="3"/>
      <c r="F50" s="198"/>
      <c r="G50" s="3"/>
      <c r="H50" s="198"/>
      <c r="I50" s="3"/>
      <c r="J50" s="198"/>
      <c r="K50" s="3"/>
      <c r="L50" s="198"/>
      <c r="M50" s="3"/>
      <c r="N50" s="198"/>
      <c r="O50" s="3"/>
      <c r="P50" s="3"/>
    </row>
    <row r="51" spans="2:16" ht="15.6">
      <c r="B51" s="3"/>
      <c r="C51" s="3"/>
      <c r="D51" s="198"/>
      <c r="E51" s="3"/>
      <c r="F51" s="198"/>
      <c r="G51" s="3"/>
      <c r="H51" s="198"/>
      <c r="I51" s="3"/>
      <c r="J51" s="198"/>
      <c r="K51" s="3"/>
      <c r="L51" s="198"/>
      <c r="M51" s="3"/>
      <c r="N51" s="198"/>
      <c r="O51" s="3"/>
      <c r="P51" s="3"/>
    </row>
    <row r="52" spans="2:16" ht="15.6">
      <c r="B52" s="3"/>
      <c r="C52" s="3"/>
      <c r="D52" s="198"/>
      <c r="E52" s="3"/>
      <c r="F52" s="198"/>
      <c r="G52" s="3"/>
      <c r="H52" s="198"/>
      <c r="I52" s="3"/>
      <c r="J52" s="198"/>
      <c r="K52" s="3"/>
      <c r="L52" s="198"/>
      <c r="M52" s="3"/>
      <c r="N52" s="198"/>
      <c r="O52" s="3"/>
      <c r="P52" s="3"/>
    </row>
    <row r="53" spans="2:16" ht="15.6">
      <c r="B53" s="3"/>
      <c r="C53" s="3"/>
      <c r="D53" s="198"/>
      <c r="E53" s="3"/>
      <c r="F53" s="198"/>
      <c r="G53" s="3"/>
      <c r="H53" s="198"/>
      <c r="I53" s="3"/>
      <c r="J53" s="198"/>
      <c r="K53" s="3"/>
      <c r="L53" s="198"/>
      <c r="M53" s="3"/>
      <c r="N53" s="198"/>
      <c r="O53" s="3"/>
      <c r="P53" s="3"/>
    </row>
    <row r="54" spans="2:16" ht="15.6">
      <c r="B54" s="3"/>
      <c r="C54" s="3"/>
      <c r="D54" s="198"/>
      <c r="E54" s="3"/>
      <c r="F54" s="198"/>
      <c r="G54" s="3"/>
      <c r="H54" s="198"/>
      <c r="I54" s="3"/>
      <c r="J54" s="198"/>
      <c r="K54" s="3"/>
      <c r="L54" s="198"/>
      <c r="M54" s="3"/>
      <c r="N54" s="198"/>
      <c r="O54" s="3"/>
      <c r="P54" s="3"/>
    </row>
    <row r="55" spans="2:16" ht="15.6">
      <c r="B55" s="3"/>
      <c r="C55" s="3"/>
      <c r="D55" s="198"/>
      <c r="E55" s="3"/>
      <c r="F55" s="198"/>
      <c r="G55" s="3"/>
      <c r="H55" s="198"/>
      <c r="I55" s="3"/>
      <c r="J55" s="198"/>
      <c r="K55" s="3"/>
      <c r="L55" s="198"/>
      <c r="M55" s="3"/>
      <c r="N55" s="198"/>
      <c r="O55" s="3"/>
      <c r="P55" s="3"/>
    </row>
    <row r="56" spans="2:16" ht="15.6">
      <c r="B56" s="3"/>
      <c r="C56" s="3"/>
      <c r="D56" s="198"/>
      <c r="E56" s="3"/>
      <c r="F56" s="198"/>
      <c r="G56" s="3"/>
      <c r="H56" s="198"/>
      <c r="I56" s="3"/>
      <c r="J56" s="198"/>
      <c r="K56" s="3"/>
      <c r="L56" s="198"/>
      <c r="M56" s="3"/>
      <c r="N56" s="198"/>
      <c r="O56" s="3"/>
      <c r="P56" s="3"/>
    </row>
    <row r="57" spans="2:16" ht="15.6">
      <c r="B57" s="3"/>
      <c r="C57" s="3"/>
      <c r="D57" s="198"/>
      <c r="E57" s="3"/>
      <c r="F57" s="198"/>
      <c r="G57" s="3"/>
      <c r="H57" s="198"/>
      <c r="I57" s="3"/>
      <c r="J57" s="198"/>
      <c r="K57" s="3"/>
      <c r="L57" s="198"/>
      <c r="M57" s="3"/>
      <c r="N57" s="198"/>
      <c r="O57" s="3"/>
      <c r="P57" s="3"/>
    </row>
    <row r="58" spans="2:16" ht="15.6">
      <c r="B58" s="3"/>
      <c r="C58" s="3"/>
      <c r="D58" s="198"/>
      <c r="E58" s="3"/>
      <c r="F58" s="198"/>
      <c r="G58" s="3"/>
      <c r="H58" s="198"/>
      <c r="I58" s="3"/>
      <c r="J58" s="198"/>
      <c r="K58" s="3"/>
      <c r="L58" s="198"/>
      <c r="M58" s="3"/>
      <c r="N58" s="198"/>
      <c r="O58" s="3"/>
      <c r="P58" s="3"/>
    </row>
    <row r="59" spans="2:16" ht="15.6">
      <c r="B59" s="3"/>
      <c r="C59" s="3"/>
      <c r="D59" s="198"/>
      <c r="E59" s="3"/>
      <c r="F59" s="198"/>
      <c r="G59" s="3"/>
      <c r="H59" s="198"/>
      <c r="I59" s="3"/>
      <c r="J59" s="198"/>
      <c r="K59" s="3"/>
      <c r="L59" s="198"/>
      <c r="M59" s="3"/>
      <c r="N59" s="198"/>
      <c r="O59" s="3"/>
      <c r="P59" s="3"/>
    </row>
    <row r="60" spans="2:16" ht="15.6">
      <c r="B60" s="3"/>
      <c r="C60" s="3"/>
      <c r="D60" s="198"/>
      <c r="E60" s="3"/>
      <c r="F60" s="198"/>
      <c r="G60" s="3"/>
      <c r="H60" s="198"/>
      <c r="I60" s="3"/>
      <c r="J60" s="198"/>
      <c r="K60" s="3"/>
      <c r="L60" s="198"/>
      <c r="M60" s="3"/>
      <c r="N60" s="198"/>
      <c r="O60" s="3"/>
      <c r="P60" s="3"/>
    </row>
    <row r="61" spans="2:16" ht="15.6">
      <c r="B61" s="3"/>
      <c r="C61" s="3"/>
      <c r="D61" s="198"/>
      <c r="E61" s="3"/>
      <c r="F61" s="198"/>
      <c r="G61" s="3"/>
      <c r="H61" s="198"/>
      <c r="I61" s="3"/>
      <c r="J61" s="198"/>
      <c r="K61" s="3"/>
      <c r="L61" s="198"/>
      <c r="M61" s="3"/>
      <c r="N61" s="198"/>
      <c r="O61" s="3"/>
      <c r="P61" s="3"/>
    </row>
    <row r="62" spans="2:16" ht="15.6">
      <c r="B62" s="3"/>
      <c r="C62" s="3"/>
      <c r="D62" s="198"/>
      <c r="E62" s="3"/>
      <c r="F62" s="198"/>
      <c r="G62" s="3"/>
      <c r="H62" s="198"/>
      <c r="I62" s="3"/>
      <c r="J62" s="198"/>
      <c r="K62" s="3"/>
      <c r="L62" s="198"/>
      <c r="M62" s="3"/>
      <c r="N62" s="198"/>
      <c r="O62" s="3"/>
      <c r="P62" s="3"/>
    </row>
    <row r="63" spans="2:16" ht="15.6">
      <c r="B63" s="3"/>
      <c r="C63" s="3"/>
      <c r="D63" s="198"/>
      <c r="E63" s="3"/>
      <c r="F63" s="198"/>
      <c r="G63" s="3"/>
      <c r="H63" s="198"/>
      <c r="I63" s="3"/>
      <c r="J63" s="198"/>
      <c r="K63" s="3"/>
      <c r="L63" s="198"/>
      <c r="M63" s="3"/>
      <c r="N63" s="198"/>
      <c r="O63" s="3"/>
      <c r="P63" s="3"/>
    </row>
    <row r="64" spans="2:16" ht="15.6">
      <c r="B64" s="3"/>
      <c r="C64" s="3"/>
      <c r="D64" s="198"/>
      <c r="E64" s="3"/>
      <c r="F64" s="198"/>
      <c r="G64" s="3"/>
      <c r="H64" s="198"/>
      <c r="I64" s="3"/>
      <c r="J64" s="198"/>
      <c r="K64" s="3"/>
      <c r="L64" s="198"/>
      <c r="M64" s="3"/>
      <c r="N64" s="198"/>
      <c r="O64" s="3"/>
      <c r="P64" s="3"/>
    </row>
    <row r="65" spans="2:16" ht="15.6">
      <c r="B65" s="3"/>
      <c r="C65" s="3"/>
      <c r="D65" s="198"/>
      <c r="E65" s="3"/>
      <c r="F65" s="198"/>
      <c r="G65" s="3"/>
      <c r="H65" s="198"/>
      <c r="I65" s="3"/>
      <c r="J65" s="198"/>
      <c r="K65" s="3"/>
      <c r="L65" s="198"/>
      <c r="M65" s="3"/>
      <c r="N65" s="198"/>
      <c r="O65" s="3"/>
      <c r="P65" s="3"/>
    </row>
    <row r="66" spans="2:16" ht="15.6">
      <c r="B66" s="3"/>
      <c r="C66" s="3"/>
      <c r="D66" s="198"/>
      <c r="E66" s="3"/>
      <c r="F66" s="198"/>
      <c r="G66" s="3"/>
      <c r="H66" s="198"/>
      <c r="I66" s="3"/>
      <c r="J66" s="198"/>
      <c r="K66" s="3"/>
      <c r="L66" s="198"/>
      <c r="M66" s="3"/>
      <c r="N66" s="198"/>
      <c r="O66" s="3"/>
      <c r="P66" s="3"/>
    </row>
    <row r="67" spans="2:16" ht="15.6">
      <c r="B67" s="3"/>
      <c r="C67" s="3"/>
      <c r="D67" s="198"/>
      <c r="E67" s="3"/>
      <c r="F67" s="198"/>
      <c r="G67" s="3"/>
      <c r="H67" s="198"/>
      <c r="I67" s="3"/>
      <c r="J67" s="198"/>
      <c r="K67" s="3"/>
      <c r="L67" s="198"/>
      <c r="M67" s="3"/>
      <c r="N67" s="198"/>
      <c r="O67" s="3"/>
      <c r="P67" s="3"/>
    </row>
    <row r="68" spans="2:16" ht="15.6">
      <c r="B68" s="3"/>
      <c r="C68" s="3"/>
      <c r="D68" s="198"/>
      <c r="E68" s="3"/>
      <c r="F68" s="198"/>
      <c r="G68" s="3"/>
      <c r="H68" s="198"/>
      <c r="I68" s="3"/>
      <c r="J68" s="198"/>
      <c r="K68" s="3"/>
      <c r="L68" s="198"/>
      <c r="M68" s="3"/>
      <c r="N68" s="198"/>
      <c r="O68" s="3"/>
      <c r="P68" s="3"/>
    </row>
    <row r="69" spans="2:16" ht="15.6">
      <c r="B69" s="3"/>
      <c r="C69" s="3"/>
      <c r="D69" s="198"/>
      <c r="E69" s="3"/>
      <c r="F69" s="198"/>
      <c r="G69" s="3"/>
      <c r="H69" s="198"/>
      <c r="I69" s="3"/>
      <c r="J69" s="198"/>
      <c r="K69" s="3"/>
      <c r="L69" s="198"/>
      <c r="M69" s="3"/>
      <c r="N69" s="198"/>
      <c r="O69" s="3"/>
      <c r="P69" s="3"/>
    </row>
    <row r="70" spans="2:16" ht="15.6">
      <c r="B70" s="3"/>
      <c r="C70" s="3"/>
      <c r="D70" s="198"/>
      <c r="E70" s="3"/>
      <c r="F70" s="198"/>
      <c r="G70" s="3"/>
      <c r="H70" s="198"/>
      <c r="I70" s="3"/>
      <c r="J70" s="198"/>
      <c r="K70" s="3"/>
      <c r="L70" s="198"/>
      <c r="M70" s="3"/>
      <c r="N70" s="198"/>
      <c r="O70" s="3"/>
      <c r="P70" s="3"/>
    </row>
    <row r="71" spans="2:16" ht="15.6">
      <c r="B71" s="3"/>
      <c r="C71" s="3"/>
      <c r="D71" s="198"/>
      <c r="E71" s="3"/>
      <c r="F71" s="198"/>
      <c r="G71" s="3"/>
      <c r="H71" s="198"/>
      <c r="I71" s="3"/>
      <c r="J71" s="198"/>
      <c r="K71" s="3"/>
      <c r="L71" s="198"/>
      <c r="M71" s="3"/>
      <c r="N71" s="198"/>
      <c r="O71" s="3"/>
      <c r="P71" s="3"/>
    </row>
    <row r="72" spans="2:16" ht="15.6">
      <c r="B72" s="3"/>
      <c r="C72" s="3"/>
      <c r="D72" s="198"/>
      <c r="E72" s="3"/>
      <c r="F72" s="198"/>
      <c r="G72" s="3"/>
      <c r="H72" s="198"/>
      <c r="I72" s="3"/>
      <c r="J72" s="198"/>
      <c r="K72" s="3"/>
      <c r="L72" s="198"/>
      <c r="M72" s="3"/>
      <c r="N72" s="198"/>
      <c r="O72" s="3"/>
      <c r="P72" s="3"/>
    </row>
    <row r="73" spans="2:16" ht="15.6">
      <c r="B73" s="3"/>
      <c r="C73" s="3"/>
      <c r="D73" s="198"/>
      <c r="E73" s="3"/>
      <c r="F73" s="198"/>
      <c r="G73" s="3"/>
      <c r="H73" s="198"/>
      <c r="I73" s="3"/>
      <c r="J73" s="198"/>
      <c r="K73" s="3"/>
      <c r="L73" s="198"/>
      <c r="M73" s="3"/>
      <c r="N73" s="198"/>
      <c r="O73" s="3"/>
      <c r="P73" s="3"/>
    </row>
    <row r="74" spans="2:16" ht="15.6">
      <c r="B74" s="3"/>
      <c r="C74" s="3"/>
      <c r="D74" s="198"/>
      <c r="E74" s="3"/>
      <c r="F74" s="198"/>
      <c r="G74" s="3"/>
      <c r="H74" s="198"/>
      <c r="I74" s="3"/>
      <c r="J74" s="198"/>
      <c r="K74" s="3"/>
      <c r="L74" s="198"/>
      <c r="M74" s="3"/>
      <c r="N74" s="198"/>
      <c r="O74" s="3"/>
      <c r="P74" s="3"/>
    </row>
    <row r="75" spans="2:16" ht="15.6">
      <c r="B75" s="3"/>
      <c r="C75" s="3"/>
      <c r="D75" s="198"/>
      <c r="E75" s="3"/>
      <c r="F75" s="198"/>
      <c r="G75" s="3"/>
      <c r="H75" s="198"/>
      <c r="I75" s="3"/>
      <c r="J75" s="198"/>
      <c r="K75" s="3"/>
      <c r="L75" s="198"/>
      <c r="M75" s="3"/>
      <c r="N75" s="198"/>
      <c r="O75" s="3"/>
      <c r="P75" s="3"/>
    </row>
    <row r="76" spans="2:16" ht="15.6">
      <c r="B76" s="3"/>
      <c r="C76" s="3"/>
      <c r="D76" s="198"/>
      <c r="E76" s="3"/>
      <c r="F76" s="198"/>
      <c r="G76" s="3"/>
      <c r="H76" s="198"/>
      <c r="I76" s="3"/>
      <c r="J76" s="198"/>
      <c r="K76" s="3"/>
      <c r="L76" s="198"/>
      <c r="M76" s="3"/>
      <c r="N76" s="198"/>
      <c r="O76" s="3"/>
      <c r="P76" s="3"/>
    </row>
    <row r="77" spans="2:16" ht="15.6">
      <c r="B77" s="3"/>
      <c r="C77" s="3"/>
      <c r="D77" s="198"/>
      <c r="E77" s="3"/>
      <c r="F77" s="198"/>
      <c r="G77" s="3"/>
      <c r="H77" s="198"/>
      <c r="I77" s="3"/>
      <c r="J77" s="198"/>
      <c r="K77" s="3"/>
      <c r="L77" s="198"/>
      <c r="M77" s="3"/>
      <c r="N77" s="198"/>
      <c r="O77" s="3"/>
      <c r="P77" s="3"/>
    </row>
    <row r="78" spans="2:16" ht="15.6">
      <c r="B78" s="3"/>
      <c r="C78" s="3"/>
      <c r="D78" s="198"/>
      <c r="E78" s="3"/>
      <c r="F78" s="198"/>
      <c r="G78" s="3"/>
      <c r="H78" s="198"/>
      <c r="I78" s="3"/>
      <c r="J78" s="198"/>
      <c r="K78" s="3"/>
      <c r="L78" s="198"/>
      <c r="M78" s="3"/>
      <c r="N78" s="198"/>
      <c r="O78" s="3"/>
      <c r="P78" s="3"/>
    </row>
    <row r="79" spans="2:16" ht="15.6">
      <c r="B79" s="3"/>
      <c r="C79" s="3"/>
      <c r="D79" s="198"/>
      <c r="E79" s="3"/>
      <c r="F79" s="198"/>
      <c r="G79" s="3"/>
      <c r="H79" s="198"/>
      <c r="I79" s="3"/>
      <c r="J79" s="198"/>
      <c r="K79" s="3"/>
      <c r="L79" s="198"/>
      <c r="M79" s="3"/>
      <c r="N79" s="198"/>
      <c r="O79" s="3"/>
      <c r="P79" s="3"/>
    </row>
    <row r="80" spans="2:16" ht="15.6">
      <c r="B80" s="3"/>
      <c r="C80" s="3"/>
      <c r="D80" s="198"/>
      <c r="E80" s="3"/>
      <c r="F80" s="198"/>
      <c r="G80" s="3"/>
      <c r="H80" s="198"/>
      <c r="I80" s="3"/>
      <c r="J80" s="198"/>
      <c r="K80" s="3"/>
      <c r="L80" s="198"/>
      <c r="M80" s="3"/>
      <c r="N80" s="198"/>
      <c r="O80" s="3"/>
      <c r="P80" s="3"/>
    </row>
    <row r="81" spans="2:16" ht="15.6">
      <c r="B81" s="3"/>
      <c r="C81" s="3"/>
      <c r="D81" s="198"/>
      <c r="E81" s="3"/>
      <c r="F81" s="198"/>
      <c r="G81" s="3"/>
      <c r="H81" s="198"/>
      <c r="I81" s="3"/>
      <c r="J81" s="198"/>
      <c r="K81" s="3"/>
      <c r="L81" s="198"/>
      <c r="M81" s="3"/>
      <c r="N81" s="198"/>
      <c r="O81" s="3"/>
      <c r="P81" s="3"/>
    </row>
    <row r="82" spans="2:16" ht="15.6">
      <c r="B82" s="3"/>
      <c r="C82" s="3"/>
      <c r="D82" s="198"/>
      <c r="E82" s="3"/>
      <c r="F82" s="198"/>
      <c r="G82" s="3"/>
      <c r="H82" s="198"/>
      <c r="I82" s="3"/>
      <c r="J82" s="198"/>
      <c r="K82" s="3"/>
      <c r="L82" s="198"/>
      <c r="M82" s="3"/>
      <c r="N82" s="198"/>
      <c r="O82" s="3"/>
      <c r="P82" s="3"/>
    </row>
    <row r="83" spans="2:16" ht="15.6">
      <c r="B83" s="3"/>
      <c r="C83" s="3"/>
      <c r="D83" s="198"/>
      <c r="E83" s="3"/>
      <c r="F83" s="198"/>
      <c r="G83" s="3"/>
      <c r="H83" s="198"/>
      <c r="I83" s="3"/>
      <c r="J83" s="198"/>
      <c r="K83" s="3"/>
      <c r="L83" s="198"/>
      <c r="M83" s="3"/>
      <c r="N83" s="198"/>
      <c r="O83" s="3"/>
      <c r="P83" s="3"/>
    </row>
    <row r="84" spans="2:16" ht="15.6">
      <c r="B84" s="3"/>
      <c r="C84" s="3"/>
      <c r="D84" s="198"/>
      <c r="E84" s="3"/>
      <c r="F84" s="198"/>
      <c r="G84" s="3"/>
      <c r="H84" s="198"/>
      <c r="I84" s="3"/>
      <c r="J84" s="198"/>
      <c r="K84" s="3"/>
      <c r="L84" s="198"/>
      <c r="M84" s="3"/>
      <c r="N84" s="198"/>
      <c r="O84" s="3"/>
      <c r="P84" s="3"/>
    </row>
    <row r="85" spans="2:16" ht="15.6">
      <c r="B85" s="3"/>
      <c r="C85" s="3"/>
      <c r="D85" s="198"/>
      <c r="E85" s="3"/>
      <c r="F85" s="198"/>
      <c r="G85" s="3"/>
      <c r="H85" s="198"/>
      <c r="I85" s="3"/>
      <c r="J85" s="198"/>
      <c r="K85" s="3"/>
      <c r="L85" s="198"/>
      <c r="M85" s="3"/>
      <c r="N85" s="198"/>
      <c r="O85" s="3"/>
      <c r="P85" s="3"/>
    </row>
    <row r="86" spans="2:16" ht="15.6">
      <c r="B86" s="3"/>
      <c r="C86" s="3"/>
      <c r="D86" s="198"/>
      <c r="E86" s="3"/>
      <c r="F86" s="198"/>
      <c r="G86" s="3"/>
      <c r="H86" s="198"/>
      <c r="I86" s="3"/>
      <c r="J86" s="198"/>
      <c r="K86" s="3"/>
      <c r="L86" s="198"/>
      <c r="M86" s="3"/>
      <c r="N86" s="198"/>
      <c r="O86" s="3"/>
      <c r="P86" s="3"/>
    </row>
    <row r="87" spans="2:16" ht="15.6">
      <c r="B87" s="3"/>
      <c r="C87" s="3"/>
      <c r="D87" s="198"/>
      <c r="E87" s="3"/>
      <c r="F87" s="198"/>
      <c r="G87" s="3"/>
      <c r="H87" s="198"/>
      <c r="I87" s="3"/>
      <c r="J87" s="198"/>
      <c r="K87" s="3"/>
      <c r="L87" s="198"/>
      <c r="M87" s="3"/>
      <c r="N87" s="198"/>
      <c r="O87" s="3"/>
      <c r="P87" s="3"/>
    </row>
    <row r="88" spans="2:16" ht="15.6">
      <c r="B88" s="3"/>
      <c r="C88" s="3"/>
      <c r="D88" s="198"/>
      <c r="E88" s="3"/>
      <c r="F88" s="198"/>
      <c r="G88" s="3"/>
      <c r="H88" s="198"/>
      <c r="I88" s="3"/>
      <c r="J88" s="198"/>
      <c r="K88" s="3"/>
      <c r="L88" s="198"/>
      <c r="M88" s="3"/>
      <c r="N88" s="198"/>
      <c r="O88" s="3"/>
      <c r="P88" s="3"/>
    </row>
    <row r="89" spans="2:16" ht="15.6">
      <c r="B89" s="3"/>
      <c r="C89" s="3"/>
      <c r="D89" s="198"/>
      <c r="E89" s="3"/>
      <c r="F89" s="198"/>
      <c r="G89" s="3"/>
      <c r="H89" s="198"/>
      <c r="I89" s="3"/>
      <c r="J89" s="198"/>
      <c r="K89" s="3"/>
      <c r="L89" s="198"/>
      <c r="M89" s="3"/>
      <c r="N89" s="198"/>
      <c r="O89" s="3"/>
      <c r="P89" s="3"/>
    </row>
    <row r="90" spans="2:16" ht="15.6">
      <c r="B90" s="3"/>
      <c r="C90" s="3"/>
      <c r="D90" s="198"/>
      <c r="E90" s="3"/>
      <c r="F90" s="198"/>
      <c r="G90" s="3"/>
      <c r="H90" s="198"/>
      <c r="I90" s="3"/>
      <c r="J90" s="198"/>
      <c r="K90" s="3"/>
      <c r="L90" s="198"/>
      <c r="M90" s="3"/>
      <c r="N90" s="198"/>
      <c r="O90" s="3"/>
      <c r="P90" s="3"/>
    </row>
    <row r="91" spans="2:16" ht="15.6">
      <c r="B91" s="3"/>
      <c r="C91" s="3"/>
      <c r="D91" s="198"/>
      <c r="E91" s="3"/>
      <c r="F91" s="198"/>
      <c r="G91" s="3"/>
      <c r="H91" s="198"/>
      <c r="I91" s="3"/>
      <c r="J91" s="198"/>
      <c r="K91" s="3"/>
      <c r="L91" s="198"/>
      <c r="M91" s="3"/>
      <c r="N91" s="198"/>
      <c r="O91" s="3"/>
      <c r="P91" s="3"/>
    </row>
    <row r="92" spans="2:16" ht="15.6">
      <c r="B92" s="3"/>
      <c r="C92" s="3"/>
      <c r="D92" s="198"/>
      <c r="E92" s="3"/>
      <c r="F92" s="198"/>
      <c r="G92" s="3"/>
      <c r="H92" s="198"/>
      <c r="I92" s="3"/>
      <c r="J92" s="198"/>
      <c r="K92" s="3"/>
      <c r="L92" s="198"/>
      <c r="M92" s="3"/>
      <c r="N92" s="198"/>
      <c r="O92" s="3"/>
      <c r="P92" s="3"/>
    </row>
    <row r="93" spans="2:16" ht="15.6">
      <c r="B93" s="3"/>
      <c r="C93" s="3"/>
      <c r="D93" s="198"/>
      <c r="E93" s="3"/>
      <c r="F93" s="198"/>
      <c r="G93" s="3"/>
      <c r="H93" s="198"/>
      <c r="I93" s="3"/>
      <c r="J93" s="198"/>
      <c r="K93" s="3"/>
      <c r="L93" s="198"/>
      <c r="M93" s="3"/>
      <c r="N93" s="198"/>
      <c r="O93" s="3"/>
      <c r="P93" s="3"/>
    </row>
    <row r="94" spans="2:16" ht="15.6">
      <c r="B94" s="3"/>
      <c r="C94" s="3"/>
      <c r="D94" s="198"/>
      <c r="E94" s="3"/>
      <c r="F94" s="198"/>
      <c r="G94" s="3"/>
      <c r="H94" s="198"/>
      <c r="I94" s="3"/>
      <c r="J94" s="198"/>
      <c r="K94" s="3"/>
      <c r="L94" s="198"/>
      <c r="M94" s="3"/>
      <c r="N94" s="198"/>
      <c r="O94" s="3"/>
      <c r="P94" s="3"/>
    </row>
    <row r="95" spans="2:16" ht="15.6">
      <c r="B95" s="3"/>
      <c r="C95" s="3"/>
      <c r="D95" s="198"/>
      <c r="E95" s="3"/>
      <c r="F95" s="198"/>
      <c r="G95" s="3"/>
      <c r="H95" s="198"/>
      <c r="I95" s="3"/>
      <c r="J95" s="198"/>
      <c r="K95" s="3"/>
      <c r="L95" s="198"/>
      <c r="M95" s="3"/>
      <c r="N95" s="198"/>
      <c r="O95" s="3"/>
      <c r="P95" s="3"/>
    </row>
    <row r="96" spans="2:16" ht="15.6">
      <c r="B96" s="3"/>
      <c r="C96" s="3"/>
      <c r="D96" s="198"/>
      <c r="E96" s="3"/>
      <c r="F96" s="198"/>
      <c r="G96" s="3"/>
      <c r="H96" s="198"/>
      <c r="I96" s="3"/>
      <c r="J96" s="198"/>
      <c r="K96" s="3"/>
      <c r="L96" s="198"/>
      <c r="M96" s="3"/>
      <c r="N96" s="198"/>
      <c r="O96" s="3"/>
      <c r="P96" s="3"/>
    </row>
    <row r="97" spans="2:16" ht="15.6">
      <c r="B97" s="3"/>
      <c r="C97" s="3"/>
      <c r="D97" s="198"/>
      <c r="E97" s="3"/>
      <c r="F97" s="198"/>
      <c r="G97" s="3"/>
      <c r="H97" s="198"/>
      <c r="I97" s="3"/>
      <c r="J97" s="198"/>
      <c r="K97" s="3"/>
      <c r="L97" s="198"/>
      <c r="M97" s="3"/>
      <c r="N97" s="198"/>
      <c r="O97" s="3"/>
      <c r="P97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6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226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20</v>
      </c>
      <c r="G1" s="6" t="e">
        <f>[1]A案國中葷食!S3</f>
        <v>#REF!</v>
      </c>
    </row>
    <row r="2" spans="1:7" ht="16.5" customHeight="1">
      <c r="A2" s="7" t="s">
        <v>227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20</v>
      </c>
      <c r="G2" s="10" t="e">
        <f>[1]A案國中葷食!S9</f>
        <v>#REF!</v>
      </c>
    </row>
    <row r="3" spans="1:7" ht="16.5" customHeight="1">
      <c r="A3" s="7" t="s">
        <v>228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20</v>
      </c>
      <c r="G3" s="10" t="e">
        <f>[1]A案國中葷食!S15</f>
        <v>#REF!</v>
      </c>
    </row>
    <row r="4" spans="1:7" ht="16.5" customHeight="1">
      <c r="A4" s="7" t="s">
        <v>229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20</v>
      </c>
      <c r="G4" s="12" t="e">
        <f>[1]A案國中葷食!S21</f>
        <v>#REF!</v>
      </c>
    </row>
    <row r="5" spans="1:7" ht="16.5" customHeight="1">
      <c r="A5" s="13" t="s">
        <v>230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20</v>
      </c>
      <c r="G5" s="15" t="e">
        <f>[1]A案國中葷食!S27</f>
        <v>#REF!</v>
      </c>
    </row>
    <row r="6" spans="1:7" ht="16.5" customHeight="1">
      <c r="A6" s="4" t="s">
        <v>231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20</v>
      </c>
      <c r="G6" s="6" t="e">
        <f>[1]A案國中葷食!S33</f>
        <v>#REF!</v>
      </c>
    </row>
    <row r="7" spans="1:7" ht="16.5" customHeight="1">
      <c r="A7" s="7" t="s">
        <v>232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20</v>
      </c>
      <c r="G7" s="17" t="e">
        <f>[1]A案國中葷食!S39</f>
        <v>#REF!</v>
      </c>
    </row>
    <row r="8" spans="1:7" ht="16.5" customHeight="1">
      <c r="A8" s="7" t="s">
        <v>233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20</v>
      </c>
      <c r="G8" s="12" t="e">
        <f>[1]A案國中葷食!S45</f>
        <v>#REF!</v>
      </c>
    </row>
    <row r="9" spans="1:7" ht="16.5" customHeight="1">
      <c r="A9" s="7" t="s">
        <v>234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20</v>
      </c>
      <c r="G9" s="18" t="e">
        <f>[1]A案國中葷食!S51</f>
        <v>#REF!</v>
      </c>
    </row>
    <row r="10" spans="1:7" ht="16.5" customHeight="1">
      <c r="A10" s="13" t="s">
        <v>235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20</v>
      </c>
      <c r="G10" s="21" t="e">
        <f>[1]A案國中葷食!S57</f>
        <v>#REF!</v>
      </c>
    </row>
    <row r="11" spans="1:7" ht="16.5" customHeight="1">
      <c r="A11" s="22" t="s">
        <v>236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20</v>
      </c>
      <c r="G11" s="6" t="e">
        <f>[1]A案國中葷食!S65</f>
        <v>#REF!</v>
      </c>
    </row>
    <row r="12" spans="1:7" ht="16.5" customHeight="1">
      <c r="A12" s="24" t="s">
        <v>237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20</v>
      </c>
      <c r="G12" s="26" t="e">
        <f>[1]A案國中葷食!S71</f>
        <v>#REF!</v>
      </c>
    </row>
    <row r="13" spans="1:7" ht="16.5" customHeight="1">
      <c r="A13" s="24" t="s">
        <v>238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20</v>
      </c>
      <c r="G13" s="27" t="e">
        <f>[1]A案國中葷食!S77</f>
        <v>#REF!</v>
      </c>
    </row>
    <row r="14" spans="1:7" ht="16.5" customHeight="1">
      <c r="A14" s="24" t="s">
        <v>239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20</v>
      </c>
      <c r="G14" s="26" t="e">
        <f>[1]A案國中葷食!S83</f>
        <v>#REF!</v>
      </c>
    </row>
    <row r="15" spans="1:7" ht="16.5" customHeight="1">
      <c r="A15" s="30" t="s">
        <v>240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20</v>
      </c>
      <c r="G15" s="33" t="e">
        <f>[1]A案國中葷食!S89</f>
        <v>#REF!</v>
      </c>
    </row>
    <row r="16" spans="1:7" ht="16.5" customHeight="1">
      <c r="A16" s="22" t="s">
        <v>241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20</v>
      </c>
      <c r="G16" s="35" t="e">
        <f>[1]A案國中葷食!S95</f>
        <v>#REF!</v>
      </c>
    </row>
    <row r="17" spans="1:21" ht="16.5" customHeight="1">
      <c r="A17" s="24" t="s">
        <v>242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20</v>
      </c>
      <c r="G17" s="26" t="e">
        <f>[1]A案國中葷食!S107</f>
        <v>#REF!</v>
      </c>
    </row>
    <row r="18" spans="1:21" ht="16.5" customHeight="1">
      <c r="A18" s="24" t="s">
        <v>243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20</v>
      </c>
      <c r="G18" s="26" t="e">
        <f>[1]A案國中葷食!S101</f>
        <v>#REF!</v>
      </c>
    </row>
    <row r="19" spans="1:21" ht="16.5" customHeight="1">
      <c r="A19" s="24" t="s">
        <v>244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20</v>
      </c>
      <c r="G19" s="26" t="e">
        <f>[1]A案國中葷食!S113</f>
        <v>#REF!</v>
      </c>
    </row>
    <row r="20" spans="1:21" ht="16.5" customHeight="1">
      <c r="A20" s="30" t="s">
        <v>245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20</v>
      </c>
      <c r="G20" s="33" t="e">
        <f>[1]A案國中葷食!S119</f>
        <v>#REF!</v>
      </c>
    </row>
    <row r="21" spans="1:21" ht="16.5" customHeight="1">
      <c r="A21" s="22" t="s">
        <v>246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20</v>
      </c>
      <c r="G21" s="35" t="e">
        <f>[1]A案國中葷食!S127</f>
        <v>#REF!</v>
      </c>
    </row>
    <row r="22" spans="1:21" ht="16.5" customHeight="1">
      <c r="A22" s="24" t="s">
        <v>247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20</v>
      </c>
      <c r="G22" s="26" t="e">
        <f>[1]A案國中葷食!S133</f>
        <v>#REF!</v>
      </c>
    </row>
    <row r="23" spans="1:21" ht="16.5" customHeight="1">
      <c r="A23" s="24" t="s">
        <v>248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20</v>
      </c>
      <c r="G23" s="27" t="e">
        <f>[1]A案國中葷食!S139</f>
        <v>#REF!</v>
      </c>
      <c r="U23" s="36"/>
    </row>
    <row r="24" spans="1:21" ht="16.5" customHeight="1">
      <c r="A24" s="24" t="s">
        <v>249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20</v>
      </c>
      <c r="G24" s="26" t="e">
        <f>[1]A案國中葷食!S145</f>
        <v>#REF!</v>
      </c>
    </row>
    <row r="25" spans="1:21" ht="16.5" customHeight="1">
      <c r="A25" s="37" t="s">
        <v>250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20</v>
      </c>
      <c r="G25" s="40" t="e">
        <f>[1]A案國中葷食!S151</f>
        <v>#REF!</v>
      </c>
    </row>
    <row r="26" spans="1:21" ht="16.2">
      <c r="A26" s="22" t="s">
        <v>251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20</v>
      </c>
      <c r="G26" s="35" t="e">
        <f>[1]A案國中葷食!S157</f>
        <v>#REF!</v>
      </c>
    </row>
    <row r="27" spans="1:21" ht="16.2">
      <c r="A27" s="24" t="s">
        <v>252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20</v>
      </c>
      <c r="G27" s="26" t="e">
        <f>[1]A案國中葷食!S163</f>
        <v>#REF!</v>
      </c>
    </row>
    <row r="28" spans="1:21" ht="16.2">
      <c r="A28" s="24" t="s">
        <v>253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20</v>
      </c>
      <c r="G28" s="26" t="e">
        <f>[1]A案國中葷食!S169</f>
        <v>#REF!</v>
      </c>
    </row>
    <row r="29" spans="1:21" ht="16.2">
      <c r="A29" s="24" t="s">
        <v>254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20</v>
      </c>
      <c r="G29" s="27" t="e">
        <f>[1]A案國中葷食!S175</f>
        <v>#REF!</v>
      </c>
    </row>
    <row r="30" spans="1:21" ht="16.2">
      <c r="A30" s="37" t="s">
        <v>255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20</v>
      </c>
      <c r="G30" s="42" t="e">
        <f>[1]A案國中葷食!S181</f>
        <v>#REF!</v>
      </c>
    </row>
    <row r="31" spans="1:21" ht="16.2">
      <c r="A31" s="22" t="s">
        <v>256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20</v>
      </c>
      <c r="G31" s="35" t="e">
        <f>[1]A案國中葷食!S189</f>
        <v>#REF!</v>
      </c>
    </row>
    <row r="32" spans="1:21" ht="16.2">
      <c r="A32" s="24" t="s">
        <v>257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20</v>
      </c>
      <c r="G32" s="26" t="e">
        <f>[1]A案國中葷食!S195</f>
        <v>#REF!</v>
      </c>
    </row>
    <row r="33" spans="1:7" ht="16.2">
      <c r="A33" s="24" t="s">
        <v>258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20</v>
      </c>
      <c r="G33" s="27" t="e">
        <f>[1]A案國中葷食!S201</f>
        <v>#REF!</v>
      </c>
    </row>
    <row r="34" spans="1:7" ht="16.2">
      <c r="A34" s="24" t="s">
        <v>259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20</v>
      </c>
      <c r="G34" s="26" t="e">
        <f>[1]A案國中葷食!S207</f>
        <v>#REF!</v>
      </c>
    </row>
    <row r="35" spans="1:7" ht="16.2">
      <c r="A35" s="37" t="s">
        <v>260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20</v>
      </c>
      <c r="G35" s="40" t="e">
        <f>[1]A案國中葷食!S213</f>
        <v>#REF!</v>
      </c>
    </row>
    <row r="36" spans="1:7" ht="16.2">
      <c r="A36" s="22" t="s">
        <v>261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20</v>
      </c>
      <c r="G36" s="44" t="e">
        <f>[1]A案國中葷食!S219</f>
        <v>#REF!</v>
      </c>
    </row>
    <row r="37" spans="1:7" ht="16.2">
      <c r="A37" s="24" t="s">
        <v>262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20</v>
      </c>
      <c r="G37" s="26" t="e">
        <f>[1]A案國中葷食!S225</f>
        <v>#REF!</v>
      </c>
    </row>
    <row r="38" spans="1:7" ht="16.2">
      <c r="A38" s="24" t="s">
        <v>263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20</v>
      </c>
      <c r="G38" s="26" t="e">
        <f>[1]A案國中葷食!S231</f>
        <v>#REF!</v>
      </c>
    </row>
    <row r="39" spans="1:7" ht="16.2">
      <c r="A39" s="24" t="s">
        <v>264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20</v>
      </c>
      <c r="G39" s="27" t="e">
        <f>[1]A案國中葷食!S237</f>
        <v>#REF!</v>
      </c>
    </row>
    <row r="40" spans="1:7" ht="16.2">
      <c r="A40" s="37" t="s">
        <v>265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20</v>
      </c>
      <c r="G40" s="40" t="e">
        <f>[1]A案國中葷食!S243</f>
        <v>#REF!</v>
      </c>
    </row>
    <row r="41" spans="1:7" ht="16.2">
      <c r="A41" s="22" t="s">
        <v>266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20</v>
      </c>
      <c r="G41" s="35" t="e">
        <f>[1]A案國中葷食!S251</f>
        <v>#REF!</v>
      </c>
    </row>
    <row r="42" spans="1:7" ht="16.2">
      <c r="A42" s="24" t="s">
        <v>267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20</v>
      </c>
      <c r="G42" s="26" t="e">
        <f>[1]A案國中葷食!S257</f>
        <v>#REF!</v>
      </c>
    </row>
    <row r="43" spans="1:7" ht="16.2">
      <c r="A43" s="24" t="s">
        <v>268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20</v>
      </c>
      <c r="G43" s="26" t="e">
        <f>[1]A案國中葷食!S263</f>
        <v>#REF!</v>
      </c>
    </row>
    <row r="44" spans="1:7" ht="16.2">
      <c r="A44" s="24" t="s">
        <v>269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20</v>
      </c>
      <c r="G44" s="26" t="e">
        <f>[1]A案國中葷食!S269</f>
        <v>#REF!</v>
      </c>
    </row>
    <row r="45" spans="1:7" ht="16.2">
      <c r="A45" s="37" t="s">
        <v>270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20</v>
      </c>
      <c r="G45" s="40" t="e">
        <f>[1]A案國中葷食!S275</f>
        <v>#REF!</v>
      </c>
    </row>
    <row r="46" spans="1:7" ht="16.2">
      <c r="A46" s="22" t="s">
        <v>271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20</v>
      </c>
      <c r="G46" s="35" t="e">
        <f>[1]A案國中葷食!S281</f>
        <v>#REF!</v>
      </c>
    </row>
    <row r="47" spans="1:7" ht="16.2">
      <c r="A47" s="24" t="s">
        <v>272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20</v>
      </c>
      <c r="G47" s="27" t="e">
        <f>[1]A案國中葷食!S287</f>
        <v>#REF!</v>
      </c>
    </row>
    <row r="48" spans="1:7" ht="16.2">
      <c r="A48" s="24" t="s">
        <v>273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20</v>
      </c>
      <c r="G48" s="26" t="e">
        <f>[1]A案國中葷食!S293</f>
        <v>#REF!</v>
      </c>
    </row>
    <row r="49" spans="1:7" ht="16.2">
      <c r="A49" s="24" t="s">
        <v>274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20</v>
      </c>
      <c r="G49" s="26" t="e">
        <f>[1]A案國中葷食!S299</f>
        <v>#REF!</v>
      </c>
    </row>
    <row r="50" spans="1:7" ht="16.2">
      <c r="A50" s="24" t="s">
        <v>275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20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非偏鄉國中(葷)</vt:lpstr>
      <vt:lpstr>非偏鄉國中葷總表</vt:lpstr>
      <vt:lpstr>非偏鄉國中(素)</vt:lpstr>
      <vt:lpstr>非偏鄉國中素總表</vt:lpstr>
      <vt:lpstr>總表(開菜單參考用)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2023-08-09T03:24:56Z</cp:lastPrinted>
  <dcterms:created xsi:type="dcterms:W3CDTF">2022-06-28T23:45:29Z</dcterms:created>
  <dcterms:modified xsi:type="dcterms:W3CDTF">2023-08-26T03:09:52Z</dcterms:modified>
</cp:coreProperties>
</file>